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workbookProtection workbookAlgorithmName="SHA-512" workbookHashValue="Nh3sR9/WkflUcj9xmQkbk+Gs6sE4qAndsPnv94s4TqQJIV5jWkoIFH4CNI6Sl0QilFxqvZnyh+G2Qn2UXglYaw==" workbookSpinCount="100000" workbookSaltValue="wTYyXd6RkN4YictrP1VVbQ==" lockStructure="1"/>
  <bookViews>
    <workbookView xWindow="0" yWindow="0" windowWidth="20730" windowHeight="10335" firstSheet="1" activeTab="1"/>
  </bookViews>
  <sheets>
    <sheet name="FDV" sheetId="1" state="hidden" r:id="rId1"/>
    <sheet name="CDV_PROY_BT" sheetId="4" r:id="rId2"/>
    <sheet name="CDV_PROY_MT" sheetId="8" r:id="rId3"/>
    <sheet name="CDV_EXIST_BT" sheetId="6" state="hidden" r:id="rId4"/>
    <sheet name="CDV_PROY_AP" sheetId="7" state="hidden" r:id="rId5"/>
    <sheet name="Estratos SCX - ISA" sheetId="3" state="hidden" r:id="rId6"/>
    <sheet name="Estratos SCY - FLO" sheetId="2" state="hidden" r:id="rId7"/>
  </sheets>
  <definedNames>
    <definedName name="_xlnm.Print_Area" localSheetId="1">'CDV_PROY_BT'!$A$1:$N$466</definedName>
    <definedName name="_xlnm.Print_Area" localSheetId="2">'CDV_PROY_MT'!$A$1:$N$117</definedName>
    <definedName name="CRISTOBAL" localSheetId="3">'CDV_EXIST_BT'!$S$11:$S$12</definedName>
    <definedName name="CRISTOBAL" localSheetId="4">'CDV_PROY_AP'!$S$11:$S$12</definedName>
    <definedName name="CRISTOBAL" localSheetId="2">'CDV_PROY_MT'!$U$11:$U$12</definedName>
    <definedName name="CRISTOBAL">'CDV_PROY_BT'!$U$11:$U$12</definedName>
    <definedName name="SAN" localSheetId="3">'CDV_EXIST_BT'!$S$11:$S$12</definedName>
    <definedName name="SAN" localSheetId="4">'CDV_PROY_AP'!$S$11:$S$12</definedName>
    <definedName name="SAN" localSheetId="2">'CDV_PROY_MT'!$U$11:$U$12</definedName>
    <definedName name="SAN">'CDV_PROY_BT'!$U$11:$U$12</definedName>
    <definedName name="SCX" localSheetId="3">'CDV_EXIST_BT'!$R$11:$R$13</definedName>
    <definedName name="SCX" localSheetId="4">'CDV_PROY_AP'!$R$11:$R$13</definedName>
    <definedName name="SCX" localSheetId="2">'CDV_PROY_MT'!$T$11:$T$13</definedName>
    <definedName name="SCX">'CDV_PROY_BT'!$T$11:$T$13</definedName>
    <definedName name="SCY" localSheetId="3">'CDV_EXIST_BT'!$S$11:$S$12</definedName>
    <definedName name="SCY" localSheetId="4">'CDV_PROY_AP'!$S$11:$S$12</definedName>
    <definedName name="SCY" localSheetId="2">'CDV_PROY_MT'!$U$11:$U$12</definedName>
    <definedName name="SCY">'CDV_PROY_BT'!$U$11:$U$12</definedName>
    <definedName name="WWWW" localSheetId="3">'CDV_EXIST_BT'!$S$11:$S$12</definedName>
    <definedName name="WWWW" localSheetId="4">'CDV_PROY_AP'!$S$11:$S$12</definedName>
    <definedName name="WWWW" localSheetId="2">'CDV_PROY_MT'!$U$11:$U$12</definedName>
    <definedName name="WWWW">'CDV_PROY_BT'!$U$11:$U$12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8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8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81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8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8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40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140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140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40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40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99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199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199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99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99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257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57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57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57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57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315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315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315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315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315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373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373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373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373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373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43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43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431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43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43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3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8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8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8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8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4.xml><?xml version="1.0" encoding="utf-8"?>
<comments xmlns="http://schemas.openxmlformats.org/spreadsheetml/2006/main">
  <authors>
    <author>ni¤os</author>
    <author>Ing. Damián Merchán P.</author>
  </authors>
  <commentList>
    <comment ref="D23" authorId="0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 xml:space="preserve">No considera el Neutro
</t>
        </r>
      </text>
    </comment>
    <comment ref="N23" authorId="1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5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6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<sst xmlns="http://schemas.openxmlformats.org/spreadsheetml/2006/main" count="1823" uniqueCount="224">
  <si>
    <t>1/0</t>
  </si>
  <si>
    <t>2/0</t>
  </si>
  <si>
    <t>3/0</t>
  </si>
  <si>
    <t>4/0</t>
  </si>
  <si>
    <t>Neutro</t>
  </si>
  <si>
    <t>Fase</t>
  </si>
  <si>
    <t>5005 (preensamblado)</t>
  </si>
  <si>
    <t>ACS</t>
  </si>
  <si>
    <t>Cobre</t>
  </si>
  <si>
    <t>ACSR</t>
  </si>
  <si>
    <t>Conductor</t>
  </si>
  <si>
    <t># DE USUARIOS</t>
  </si>
  <si>
    <t>ESTRATO A1</t>
  </si>
  <si>
    <t>ESTRATO A</t>
  </si>
  <si>
    <t>ESTRATO B</t>
  </si>
  <si>
    <t>ESTRATO C</t>
  </si>
  <si>
    <t>CON EQUIPAMIENTO ELÉCTRICO PARA USO GENERAL COCCIÓN Y CALENTAMIENTO DE AGUA</t>
  </si>
  <si>
    <t>CON EQUIPAMIENTO ELÉCTRICO PARA USO GENERAL</t>
  </si>
  <si>
    <t>DD [kVA]</t>
  </si>
  <si>
    <t>Energía total [kWh/mes/usuario]</t>
  </si>
  <si>
    <t>TRANSFORMADOR [kVA]</t>
  </si>
  <si>
    <t>//RD//</t>
  </si>
  <si>
    <t>SI</t>
  </si>
  <si>
    <t>LOCALIDAD:</t>
  </si>
  <si>
    <t>TIPO DE OBRA:</t>
  </si>
  <si>
    <t xml:space="preserve">   Tipo de</t>
  </si>
  <si>
    <t>Conductor:</t>
  </si>
  <si>
    <t>COBRE</t>
  </si>
  <si>
    <t>Red de B.T.:</t>
  </si>
  <si>
    <t>1F</t>
  </si>
  <si>
    <t>REF. TRANSFORMADOR:</t>
  </si>
  <si>
    <t>N° Total Abon.</t>
  </si>
  <si>
    <t>Diseñado por:</t>
  </si>
  <si>
    <t>VOLTAJE SECUNDARIO:</t>
  </si>
  <si>
    <t>A.P. Total [w]</t>
  </si>
  <si>
    <t>Fecha:</t>
  </si>
  <si>
    <t>ESQUEMA:</t>
  </si>
  <si>
    <t>Remitirse al plano de redes proyectadas</t>
  </si>
  <si>
    <t xml:space="preserve">     TRAMO</t>
  </si>
  <si>
    <t>Longit.</t>
  </si>
  <si>
    <t>N°</t>
  </si>
  <si>
    <t>Al.Púb.</t>
  </si>
  <si>
    <t>CARGA</t>
  </si>
  <si>
    <t>CONDUCTOR</t>
  </si>
  <si>
    <t>kva x m</t>
  </si>
  <si>
    <t>CAIDA DE TENSION</t>
  </si>
  <si>
    <t>Inicio</t>
  </si>
  <si>
    <t>Fin</t>
  </si>
  <si>
    <t>[m]</t>
  </si>
  <si>
    <t>ABON.</t>
  </si>
  <si>
    <t>(W)</t>
  </si>
  <si>
    <t>[kva]</t>
  </si>
  <si>
    <t>N° fases</t>
  </si>
  <si>
    <t>F.D.V.</t>
  </si>
  <si>
    <t>PARCIAL</t>
  </si>
  <si>
    <t>ACUM.</t>
  </si>
  <si>
    <t>MAXIMOS</t>
  </si>
  <si>
    <t>1/0 =</t>
  </si>
  <si>
    <t>2 =</t>
  </si>
  <si>
    <t>metros</t>
  </si>
  <si>
    <t>NOTAS:</t>
  </si>
  <si>
    <t>DV Máx:</t>
  </si>
  <si>
    <t>EMPRESA ELECTRICA PROVINCIAL GALAPAGOS S.A</t>
  </si>
  <si>
    <t>LOCALIDAD</t>
  </si>
  <si>
    <t>SAN CRISTOBAL</t>
  </si>
  <si>
    <t>FLOREANA</t>
  </si>
  <si>
    <t xml:space="preserve">SANTA CRUZ </t>
  </si>
  <si>
    <t>ISABELA</t>
  </si>
  <si>
    <t>ELECTRIFICACION NUEVA</t>
  </si>
  <si>
    <t>TIPO CONDUCTOR</t>
  </si>
  <si>
    <t>5005 (PREENSAMBLADO)</t>
  </si>
  <si>
    <t>ESTRATO:</t>
  </si>
  <si>
    <t>ESTRATOS</t>
  </si>
  <si>
    <t>A1</t>
  </si>
  <si>
    <t>B</t>
  </si>
  <si>
    <t>C</t>
  </si>
  <si>
    <t>A</t>
  </si>
  <si>
    <t>TIPO RED BT</t>
  </si>
  <si>
    <t>3F</t>
  </si>
  <si>
    <t>CALIBRES</t>
  </si>
  <si>
    <t xml:space="preserve"> f:) _______</t>
  </si>
  <si>
    <t>SECTOR:</t>
  </si>
  <si>
    <t>MEJORA URBANA</t>
  </si>
  <si>
    <t>MEJORA RURAL</t>
  </si>
  <si>
    <t>Puerto Baquerizo Moreno</t>
  </si>
  <si>
    <t>El Progreso</t>
  </si>
  <si>
    <t>Isla Santa Maria</t>
  </si>
  <si>
    <t xml:space="preserve">Puerto Ayora </t>
  </si>
  <si>
    <t>Bellavista</t>
  </si>
  <si>
    <t>Santa Rosa</t>
  </si>
  <si>
    <t>Puerto Villamil</t>
  </si>
  <si>
    <t>Tomas de Berlanga</t>
  </si>
  <si>
    <t xml:space="preserve">      PARROQUIA:</t>
  </si>
  <si>
    <t>DEMANDA TOTAL (KVA):</t>
  </si>
  <si>
    <t>NOTA: Estratos:  "A1 (Casco Urbano-Sector hotelero)"; "A (Barrios Centricos)"; "B(Zona Periferica)", "C(Zona Rural)"</t>
  </si>
  <si>
    <t>2/0 =</t>
  </si>
  <si>
    <t xml:space="preserve">4/0 = </t>
  </si>
  <si>
    <t>3/0 =</t>
  </si>
  <si>
    <t>Longitud Neutro</t>
  </si>
  <si>
    <t>Longitud Fases</t>
  </si>
  <si>
    <t>1F 3H   (120/240)</t>
  </si>
  <si>
    <t>3F 4H (220/127)</t>
  </si>
  <si>
    <t>El transformador está en el poste/pozo:</t>
  </si>
  <si>
    <t>4=</t>
  </si>
  <si>
    <r>
      <t>Resumen de Conductor Fase: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                                                                                                        </t>
    </r>
  </si>
  <si>
    <t>AWG-FASE</t>
  </si>
  <si>
    <t>AWG-NEUTRO</t>
  </si>
  <si>
    <r>
      <t>Resumen de Conductor Neutro:</t>
    </r>
    <r>
      <rPr>
        <sz val="10"/>
        <rFont val="Arial"/>
        <family val="2"/>
      </rPr>
      <t xml:space="preserve"> (Incluye el 1.5 % de Desperdicio)  </t>
    </r>
    <r>
      <rPr>
        <sz val="9"/>
        <rFont val="Arial"/>
        <family val="2"/>
      </rPr>
      <t xml:space="preserve">                                                                                                             </t>
    </r>
  </si>
  <si>
    <t xml:space="preserve">               DIRECCION TECNICA</t>
  </si>
  <si>
    <t xml:space="preserve">             CALCULO DE CAIDA DE TENSION (B.T. Existente)</t>
  </si>
  <si>
    <t xml:space="preserve">          Longitud de red de B.T.:</t>
  </si>
  <si>
    <t xml:space="preserve">             DIRECCION TECNICA</t>
  </si>
  <si>
    <t xml:space="preserve"> CALCULO DE CAIDA DE TENSION (B.T. Proyectado)</t>
  </si>
  <si>
    <r>
      <t>Resumen de Conductor: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</t>
    </r>
  </si>
  <si>
    <t>Remitirse al plano de redes existentes</t>
  </si>
  <si>
    <t xml:space="preserve">MEJORA </t>
  </si>
  <si>
    <t>EXPANSION</t>
  </si>
  <si>
    <t>NO</t>
  </si>
  <si>
    <t>A.P</t>
  </si>
  <si>
    <t>TRAFO exclusivo para A.P</t>
  </si>
  <si>
    <t xml:space="preserve">              DIRECCION TECNICA</t>
  </si>
  <si>
    <t xml:space="preserve">                                                        EMPRESA ELECTRICA PROVINCIAL GALAPAGOS S.A</t>
  </si>
  <si>
    <t>Anexo/Hoja N:</t>
  </si>
  <si>
    <t xml:space="preserve">                Longitud de red de B.T.:</t>
  </si>
  <si>
    <t>4 =</t>
  </si>
  <si>
    <t>6 =</t>
  </si>
  <si>
    <t xml:space="preserve">                                                                                CALCULO DE CAIDA DE TENSION (A.P. Proyectado)</t>
  </si>
  <si>
    <t>POT. NOMINAL TRAFO. EXISTENTE (KVA):</t>
  </si>
  <si>
    <t>T1</t>
  </si>
  <si>
    <t>P13</t>
  </si>
  <si>
    <t>P11</t>
  </si>
  <si>
    <t>P10</t>
  </si>
  <si>
    <t>P9</t>
  </si>
  <si>
    <t>P6</t>
  </si>
  <si>
    <t>P5</t>
  </si>
  <si>
    <t>P4</t>
  </si>
  <si>
    <t>P3</t>
  </si>
  <si>
    <t>P2</t>
  </si>
  <si>
    <t>P1</t>
  </si>
  <si>
    <t>T3</t>
  </si>
  <si>
    <t>P18</t>
  </si>
  <si>
    <t>P16</t>
  </si>
  <si>
    <t>T4</t>
  </si>
  <si>
    <t>P19</t>
  </si>
  <si>
    <t>T5</t>
  </si>
  <si>
    <t>P29</t>
  </si>
  <si>
    <t>P8</t>
  </si>
  <si>
    <t>P7</t>
  </si>
  <si>
    <t>T6</t>
  </si>
  <si>
    <t>P31</t>
  </si>
  <si>
    <t>P30</t>
  </si>
  <si>
    <t>P32</t>
  </si>
  <si>
    <t>P33</t>
  </si>
  <si>
    <t>T7</t>
  </si>
  <si>
    <t>P25</t>
  </si>
  <si>
    <t>P23</t>
  </si>
  <si>
    <t>P22</t>
  </si>
  <si>
    <t>P26</t>
  </si>
  <si>
    <t>P27</t>
  </si>
  <si>
    <t>P36</t>
  </si>
  <si>
    <t>P37</t>
  </si>
  <si>
    <t>P38</t>
  </si>
  <si>
    <t>P35</t>
  </si>
  <si>
    <t>P34</t>
  </si>
  <si>
    <t>P40</t>
  </si>
  <si>
    <t>P39</t>
  </si>
  <si>
    <t>Cliente-Formula/kVA</t>
  </si>
  <si>
    <t>Carpinterias</t>
  </si>
  <si>
    <t>Mecanica+Vulcanizadora</t>
  </si>
  <si>
    <t>Mecanicas+Cerrajerias</t>
  </si>
  <si>
    <t>TIPO DE CLIENTE</t>
  </si>
  <si>
    <t>RESIDENCIAL</t>
  </si>
  <si>
    <t>COMERCIAL</t>
  </si>
  <si>
    <t>INDUSTRIAL</t>
  </si>
  <si>
    <t>Tipo de cliente:</t>
  </si>
  <si>
    <t>Factor Sobre Carga Trafo:</t>
  </si>
  <si>
    <t>FC</t>
  </si>
  <si>
    <t>DEMANDA TOTAL CON F.S.C (KVA):</t>
  </si>
  <si>
    <t xml:space="preserve">      VOLTAJE SECUNDARIO:</t>
  </si>
  <si>
    <t xml:space="preserve">    Red de B.T.:</t>
  </si>
  <si>
    <t xml:space="preserve">1F 2C   </t>
  </si>
  <si>
    <t xml:space="preserve">3F 4C </t>
  </si>
  <si>
    <t xml:space="preserve">     NIVEL DE TENSION:</t>
  </si>
  <si>
    <t xml:space="preserve"> CALCULO DE CAIDA DE TENSION (M.T. Proyectado)</t>
  </si>
  <si>
    <t>N° Total Trafos.</t>
  </si>
  <si>
    <t xml:space="preserve">    Red de M.T.:</t>
  </si>
  <si>
    <t>POTENCIA TOTAL TRAFOS (KVA):</t>
  </si>
  <si>
    <t>kVA</t>
  </si>
  <si>
    <t>poste/pozo de arranque:</t>
  </si>
  <si>
    <t xml:space="preserve"> PARROQUIA:</t>
  </si>
  <si>
    <t xml:space="preserve">      CDV - ACUMULADO:</t>
  </si>
  <si>
    <t>kva x km</t>
  </si>
  <si>
    <t>FDV (Kva x m) al 1%</t>
  </si>
  <si>
    <t>FDV (kVA x Km) al 1%  -----  13.8/7.6 kV</t>
  </si>
  <si>
    <t>P24</t>
  </si>
  <si>
    <t>kva x Km</t>
  </si>
  <si>
    <t>CDV-ACUMULADO:</t>
  </si>
  <si>
    <t>T8</t>
  </si>
  <si>
    <t>CDV - URBANO</t>
  </si>
  <si>
    <t>CDV -RURAL</t>
  </si>
  <si>
    <t>AEREO</t>
  </si>
  <si>
    <t>SUBTERRANEO</t>
  </si>
  <si>
    <t>LIMITES - CDV - %</t>
  </si>
  <si>
    <t>TOT. AP. W</t>
  </si>
  <si>
    <t>TOT. CLIENTES</t>
  </si>
  <si>
    <t>J.P</t>
  </si>
  <si>
    <t>4 / 2 DE 8</t>
  </si>
  <si>
    <t>4 / 3 DE 8</t>
  </si>
  <si>
    <t>4 / 4 DE 8</t>
  </si>
  <si>
    <t>4 / 5 DE 8</t>
  </si>
  <si>
    <t>4 / 6 DE 8</t>
  </si>
  <si>
    <t>4 / 7 DE 8</t>
  </si>
  <si>
    <t>4 / 8 DE 8</t>
  </si>
  <si>
    <t>P14</t>
  </si>
  <si>
    <t>P12</t>
  </si>
  <si>
    <t>P20</t>
  </si>
  <si>
    <t>P28</t>
  </si>
  <si>
    <t>4 / 2 DE 2</t>
  </si>
  <si>
    <t>Pedregal V</t>
  </si>
  <si>
    <t>N1</t>
  </si>
  <si>
    <t>N2</t>
  </si>
  <si>
    <t>3 / 1 DE 2</t>
  </si>
  <si>
    <t>JEFATURA DE PLANIFICACION</t>
  </si>
  <si>
    <t>3 / 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</si>
</sst>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wis721 LtCn BT"/>
      <family val="2"/>
    </font>
    <font>
      <b/>
      <sz val="14"/>
      <color theme="1"/>
      <name val="Swis721 LtCn BT"/>
      <family val="2"/>
    </font>
    <font>
      <b/>
      <sz val="10"/>
      <color theme="1"/>
      <name val="Swis721 LtCn BT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rgb="FFFF000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sz val="6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49" fontId="5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49" fontId="0" fillId="6" borderId="0" xfId="0" applyNumberFormat="1" applyFill="1" applyBorder="1" applyProtection="1">
      <protection hidden="1"/>
    </xf>
    <xf numFmtId="0" fontId="10" fillId="6" borderId="4" xfId="0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1" fillId="6" borderId="0" xfId="0" applyFont="1" applyFill="1" applyBorder="1" applyProtection="1"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5" fillId="6" borderId="6" xfId="0" applyFont="1" applyFill="1" applyBorder="1" applyAlignment="1" applyProtection="1">
      <alignment/>
      <protection hidden="1"/>
    </xf>
    <xf numFmtId="0" fontId="0" fillId="6" borderId="6" xfId="0" applyFill="1" applyBorder="1" applyProtection="1">
      <protection hidden="1"/>
    </xf>
    <xf numFmtId="0" fontId="10" fillId="6" borderId="0" xfId="0" applyFont="1" applyFill="1" applyBorder="1" applyAlignment="1" applyProtection="1">
      <alignment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8" xfId="0" applyFont="1" applyFill="1" applyBorder="1" applyAlignment="1" applyProtection="1">
      <alignment horizontal="left"/>
      <protection hidden="1"/>
    </xf>
    <xf numFmtId="49" fontId="0" fillId="6" borderId="8" xfId="0" applyNumberForma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0" fillId="6" borderId="12" xfId="0" applyFill="1" applyBorder="1" applyProtection="1">
      <protection hidden="1"/>
    </xf>
    <xf numFmtId="49" fontId="0" fillId="6" borderId="6" xfId="0" applyNumberFormat="1" applyFill="1" applyBorder="1" applyProtection="1">
      <protection hidden="1"/>
    </xf>
    <xf numFmtId="0" fontId="13" fillId="6" borderId="7" xfId="0" applyFont="1" applyFill="1" applyBorder="1" applyAlignment="1" applyProtection="1">
      <alignment vertical="center"/>
      <protection hidden="1"/>
    </xf>
    <xf numFmtId="0" fontId="14" fillId="6" borderId="8" xfId="0" applyFont="1" applyFill="1" applyBorder="1" applyAlignment="1" applyProtection="1">
      <alignment vertical="center"/>
      <protection hidden="1"/>
    </xf>
    <xf numFmtId="0" fontId="15" fillId="6" borderId="8" xfId="0" applyFont="1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49" fontId="0" fillId="6" borderId="8" xfId="0" applyNumberFormat="1" applyFill="1" applyBorder="1" applyAlignment="1" applyProtection="1">
      <alignment vertical="center"/>
      <protection hidden="1"/>
    </xf>
    <xf numFmtId="0" fontId="0" fillId="6" borderId="13" xfId="0" applyFill="1" applyBorder="1" applyProtection="1"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49" fontId="5" fillId="6" borderId="11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2" fontId="1" fillId="6" borderId="17" xfId="0" applyNumberFormat="1" applyFont="1" applyFill="1" applyBorder="1" applyAlignment="1" applyProtection="1">
      <alignment horizontal="center"/>
      <protection hidden="1"/>
    </xf>
    <xf numFmtId="0" fontId="1" fillId="6" borderId="17" xfId="0" applyNumberFormat="1" applyFont="1" applyFill="1" applyBorder="1" applyAlignment="1" applyProtection="1">
      <alignment horizontal="center"/>
      <protection hidden="1"/>
    </xf>
    <xf numFmtId="1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2" fontId="1" fillId="6" borderId="19" xfId="0" applyNumberFormat="1" applyFont="1" applyFill="1" applyBorder="1" applyAlignment="1" applyProtection="1">
      <alignment horizontal="center"/>
      <protection hidden="1"/>
    </xf>
    <xf numFmtId="1" fontId="1" fillId="6" borderId="19" xfId="0" applyNumberFormat="1" applyFont="1" applyFill="1" applyBorder="1" applyAlignment="1" applyProtection="1">
      <alignment horizontal="center"/>
      <protection hidden="1"/>
    </xf>
    <xf numFmtId="2" fontId="1" fillId="6" borderId="20" xfId="0" applyNumberFormat="1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2" fontId="1" fillId="6" borderId="21" xfId="0" applyNumberFormat="1" applyFont="1" applyFill="1" applyBorder="1" applyAlignment="1" applyProtection="1">
      <alignment horizontal="center"/>
      <protection hidden="1"/>
    </xf>
    <xf numFmtId="0" fontId="1" fillId="6" borderId="21" xfId="0" applyNumberFormat="1" applyFont="1" applyFill="1" applyBorder="1" applyAlignment="1" applyProtection="1">
      <alignment horizont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 hidden="1"/>
    </xf>
    <xf numFmtId="1" fontId="1" fillId="6" borderId="21" xfId="0" applyNumberFormat="1" applyFont="1" applyFill="1" applyBorder="1" applyAlignment="1" applyProtection="1">
      <alignment horizontal="center"/>
      <protection hidden="1"/>
    </xf>
    <xf numFmtId="2" fontId="1" fillId="7" borderId="21" xfId="0" applyNumberFormat="1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2" fontId="18" fillId="6" borderId="6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Alignment="1" applyProtection="1">
      <alignment horizontal="center"/>
      <protection hidden="1"/>
    </xf>
    <xf numFmtId="1" fontId="18" fillId="6" borderId="6" xfId="0" applyNumberFormat="1" applyFont="1" applyFill="1" applyBorder="1" applyAlignment="1" applyProtection="1">
      <alignment horizontal="center"/>
      <protection hidden="1"/>
    </xf>
    <xf numFmtId="0" fontId="18" fillId="6" borderId="6" xfId="0" applyNumberFormat="1" applyFont="1" applyFill="1" applyBorder="1" applyAlignment="1" applyProtection="1">
      <alignment horizontal="center"/>
      <protection hidden="1"/>
    </xf>
    <xf numFmtId="2" fontId="9" fillId="6" borderId="12" xfId="0" applyNumberFormat="1" applyFont="1" applyFill="1" applyBorder="1" applyAlignment="1" applyProtection="1">
      <alignment horizontal="right"/>
      <protection hidden="1"/>
    </xf>
    <xf numFmtId="3" fontId="1" fillId="6" borderId="22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right"/>
      <protection hidden="1"/>
    </xf>
    <xf numFmtId="0" fontId="9" fillId="6" borderId="16" xfId="0" applyFont="1" applyFill="1" applyBorder="1" applyAlignment="1" applyProtection="1">
      <alignment horizontal="left"/>
      <protection hidden="1"/>
    </xf>
    <xf numFmtId="2" fontId="0" fillId="6" borderId="14" xfId="0" applyNumberFormat="1" applyFill="1" applyBorder="1" applyAlignment="1" applyProtection="1">
      <alignment horizontal="center"/>
      <protection hidden="1"/>
    </xf>
    <xf numFmtId="2" fontId="9" fillId="6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5" fillId="6" borderId="15" xfId="0" applyFont="1" applyFill="1" applyBorder="1" applyAlignment="1" applyProtection="1">
      <alignment horizontal="right"/>
      <protection hidden="1"/>
    </xf>
    <xf numFmtId="2" fontId="9" fillId="6" borderId="0" xfId="0" applyNumberFormat="1" applyFont="1" applyFill="1" applyBorder="1" applyAlignment="1" applyProtection="1">
      <alignment horizontal="right"/>
      <protection hidden="1"/>
    </xf>
    <xf numFmtId="3" fontId="1" fillId="6" borderId="0" xfId="0" applyNumberFormat="1" applyFont="1" applyFill="1" applyBorder="1" applyAlignment="1" applyProtection="1">
      <alignment horizontal="center"/>
      <protection hidden="1"/>
    </xf>
    <xf numFmtId="2" fontId="9" fillId="6" borderId="3" xfId="0" applyNumberFormat="1" applyFont="1" applyFill="1" applyBorder="1" applyAlignment="1" applyProtection="1">
      <alignment horizontal="right"/>
      <protection hidden="1"/>
    </xf>
    <xf numFmtId="3" fontId="1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3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right"/>
      <protection hidden="1"/>
    </xf>
    <xf numFmtId="2" fontId="1" fillId="6" borderId="9" xfId="0" applyNumberFormat="1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18" fillId="6" borderId="0" xfId="0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49" fontId="0" fillId="6" borderId="0" xfId="0" applyNumberFormat="1" applyFill="1" applyBorder="1" applyAlignment="1" applyProtection="1">
      <alignment vertical="center"/>
      <protection hidden="1"/>
    </xf>
    <xf numFmtId="0" fontId="16" fillId="6" borderId="11" xfId="0" applyFont="1" applyFill="1" applyBorder="1" applyAlignment="1" applyProtection="1">
      <alignment horizontal="center"/>
      <protection hidden="1"/>
    </xf>
    <xf numFmtId="3" fontId="1" fillId="6" borderId="5" xfId="0" applyNumberFormat="1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2" fontId="21" fillId="6" borderId="0" xfId="0" applyNumberFormat="1" applyFont="1" applyFill="1" applyBorder="1" applyAlignment="1" applyProtection="1">
      <alignment horizontal="right"/>
      <protection hidden="1"/>
    </xf>
    <xf numFmtId="0" fontId="26" fillId="6" borderId="12" xfId="0" applyFont="1" applyFill="1" applyBorder="1" applyProtection="1">
      <protection hidden="1"/>
    </xf>
    <xf numFmtId="0" fontId="5" fillId="6" borderId="22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horizontal="right" vertical="center"/>
      <protection hidden="1"/>
    </xf>
    <xf numFmtId="2" fontId="1" fillId="6" borderId="14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8" fillId="6" borderId="32" xfId="0" applyFont="1" applyFill="1" applyBorder="1" applyAlignment="1" applyProtection="1">
      <alignment horizontal="center"/>
      <protection hidden="1"/>
    </xf>
    <xf numFmtId="0" fontId="18" fillId="6" borderId="21" xfId="0" applyFont="1" applyFill="1" applyBorder="1" applyAlignment="1" applyProtection="1">
      <alignment horizontal="center"/>
      <protection hidden="1"/>
    </xf>
    <xf numFmtId="3" fontId="19" fillId="6" borderId="21" xfId="0" applyNumberFormat="1" applyFont="1" applyFill="1" applyBorder="1" applyAlignment="1" applyProtection="1">
      <alignment horizontal="right"/>
      <protection hidden="1"/>
    </xf>
    <xf numFmtId="1" fontId="18" fillId="6" borderId="2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8" fillId="6" borderId="12" xfId="0" applyFont="1" applyFill="1" applyBorder="1" applyProtection="1">
      <protection hidden="1"/>
    </xf>
    <xf numFmtId="0" fontId="0" fillId="0" borderId="11" xfId="0" applyBorder="1" applyProtection="1">
      <protection hidden="1" locked="0"/>
    </xf>
    <xf numFmtId="0" fontId="1" fillId="6" borderId="11" xfId="0" applyFont="1" applyFill="1" applyBorder="1" applyAlignment="1" applyProtection="1">
      <alignment horizontal="center"/>
      <protection hidden="1" locked="0"/>
    </xf>
    <xf numFmtId="3" fontId="5" fillId="6" borderId="11" xfId="0" applyNumberFormat="1" applyFont="1" applyFill="1" applyBorder="1" applyAlignment="1" applyProtection="1">
      <alignment horizontal="center"/>
      <protection hidden="1" locked="0"/>
    </xf>
    <xf numFmtId="0" fontId="9" fillId="6" borderId="11" xfId="0" applyFont="1" applyFill="1" applyBorder="1" applyAlignment="1" applyProtection="1">
      <alignment horizontal="center"/>
      <protection hidden="1" locked="0"/>
    </xf>
    <xf numFmtId="0" fontId="17" fillId="6" borderId="11" xfId="0" applyFont="1" applyFill="1" applyBorder="1" applyAlignment="1" applyProtection="1">
      <alignment horizontal="center" vertical="center"/>
      <protection hidden="1" locked="0"/>
    </xf>
    <xf numFmtId="2" fontId="1" fillId="6" borderId="33" xfId="0" applyNumberFormat="1" applyFont="1" applyFill="1" applyBorder="1" applyAlignment="1" applyProtection="1">
      <alignment horizontal="center"/>
      <protection hidden="1" locked="0"/>
    </xf>
    <xf numFmtId="2" fontId="1" fillId="6" borderId="34" xfId="0" applyNumberFormat="1" applyFont="1" applyFill="1" applyBorder="1" applyAlignment="1" applyProtection="1">
      <alignment horizontal="center"/>
      <protection hidden="1" locked="0"/>
    </xf>
    <xf numFmtId="2" fontId="1" fillId="6" borderId="35" xfId="0" applyNumberFormat="1" applyFont="1" applyFill="1" applyBorder="1" applyAlignment="1" applyProtection="1">
      <alignment horizontal="center"/>
      <protection hidden="1" locked="0"/>
    </xf>
    <xf numFmtId="2" fontId="1" fillId="6" borderId="20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1" xfId="0" applyFont="1" applyFill="1" applyBorder="1" applyAlignment="1" applyProtection="1">
      <alignment horizontal="center" vertical="center"/>
      <protection hidden="1" locked="0"/>
    </xf>
    <xf numFmtId="0" fontId="29" fillId="0" borderId="11" xfId="0" applyFont="1" applyBorder="1" applyProtection="1">
      <protection hidden="1" locked="0"/>
    </xf>
    <xf numFmtId="3" fontId="5" fillId="6" borderId="14" xfId="0" applyNumberFormat="1" applyFont="1" applyFill="1" applyBorder="1" applyAlignment="1" applyProtection="1">
      <alignment horizontal="center"/>
      <protection hidden="1" locked="0"/>
    </xf>
    <xf numFmtId="0" fontId="16" fillId="6" borderId="11" xfId="0" applyFont="1" applyFill="1" applyBorder="1" applyAlignment="1" applyProtection="1">
      <alignment horizontal="center" vertical="center"/>
      <protection hidden="1" locked="0"/>
    </xf>
    <xf numFmtId="0" fontId="16" fillId="6" borderId="18" xfId="0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3" fontId="5" fillId="6" borderId="18" xfId="0" applyNumberFormat="1" applyFont="1" applyFill="1" applyBorder="1" applyAlignment="1" applyProtection="1">
      <alignment horizontal="center"/>
      <protection hidden="1" locked="0"/>
    </xf>
    <xf numFmtId="0" fontId="16" fillId="6" borderId="36" xfId="0" applyFont="1" applyFill="1" applyBorder="1" applyAlignment="1" applyProtection="1">
      <alignment horizontal="center"/>
      <protection hidden="1" locked="0"/>
    </xf>
    <xf numFmtId="0" fontId="16" fillId="6" borderId="1" xfId="0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3" fontId="5" fillId="6" borderId="1" xfId="0" applyNumberFormat="1" applyFont="1" applyFill="1" applyBorder="1" applyAlignment="1" applyProtection="1">
      <alignment horizontal="center"/>
      <protection hidden="1" locked="0"/>
    </xf>
    <xf numFmtId="0" fontId="16" fillId="6" borderId="37" xfId="0" applyFont="1" applyFill="1" applyBorder="1" applyAlignment="1" applyProtection="1">
      <alignment horizontal="center"/>
      <protection hidden="1" locked="0"/>
    </xf>
    <xf numFmtId="0" fontId="16" fillId="6" borderId="2" xfId="0" applyFont="1" applyFill="1" applyBorder="1" applyAlignment="1" applyProtection="1">
      <alignment horizontal="center"/>
      <protection hidden="1" locked="0"/>
    </xf>
    <xf numFmtId="0" fontId="1" fillId="6" borderId="2" xfId="0" applyFont="1" applyFill="1" applyBorder="1" applyAlignment="1" applyProtection="1">
      <alignment horizontal="center"/>
      <protection hidden="1" locked="0"/>
    </xf>
    <xf numFmtId="3" fontId="5" fillId="6" borderId="38" xfId="0" applyNumberFormat="1" applyFont="1" applyFill="1" applyBorder="1" applyAlignment="1" applyProtection="1">
      <alignment horizontal="center"/>
      <protection hidden="1" locked="0"/>
    </xf>
    <xf numFmtId="0" fontId="16" fillId="6" borderId="39" xfId="0" applyFont="1" applyFill="1" applyBorder="1" applyAlignment="1" applyProtection="1">
      <alignment horizontal="center"/>
      <protection hidden="1" locked="0"/>
    </xf>
    <xf numFmtId="0" fontId="16" fillId="6" borderId="17" xfId="0" applyFont="1" applyFill="1" applyBorder="1" applyAlignment="1" applyProtection="1">
      <alignment horizontal="center"/>
      <protection hidden="1" locked="0"/>
    </xf>
    <xf numFmtId="0" fontId="1" fillId="6" borderId="17" xfId="0" applyFont="1" applyFill="1" applyBorder="1" applyAlignment="1" applyProtection="1">
      <alignment horizontal="center"/>
      <protection hidden="1" locked="0"/>
    </xf>
    <xf numFmtId="0" fontId="16" fillId="6" borderId="40" xfId="0" applyFont="1" applyFill="1" applyBorder="1" applyAlignment="1" applyProtection="1">
      <alignment horizontal="center"/>
      <protection hidden="1" locked="0"/>
    </xf>
    <xf numFmtId="0" fontId="16" fillId="6" borderId="19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19" xfId="0" applyNumberFormat="1" applyFont="1" applyFill="1" applyBorder="1" applyAlignment="1" applyProtection="1">
      <alignment horizontal="center"/>
      <protection hidden="1" locked="0"/>
    </xf>
    <xf numFmtId="49" fontId="1" fillId="0" borderId="18" xfId="0" applyNumberFormat="1" applyFont="1" applyFill="1" applyBorder="1" applyAlignment="1" applyProtection="1" quotePrefix="1">
      <alignment horizontal="center"/>
      <protection hidden="1" locked="0"/>
    </xf>
    <xf numFmtId="49" fontId="1" fillId="0" borderId="17" xfId="0" applyNumberFormat="1" applyFont="1" applyFill="1" applyBorder="1" applyAlignment="1" applyProtection="1" quotePrefix="1">
      <alignment horizontal="center"/>
      <protection hidden="1" locked="0"/>
    </xf>
    <xf numFmtId="49" fontId="1" fillId="0" borderId="21" xfId="0" applyNumberFormat="1" applyFont="1" applyFill="1" applyBorder="1" applyAlignment="1" applyProtection="1" quotePrefix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49" fontId="29" fillId="6" borderId="8" xfId="0" applyNumberFormat="1" applyFont="1" applyFill="1" applyBorder="1" applyProtection="1">
      <protection hidden="1"/>
    </xf>
    <xf numFmtId="0" fontId="31" fillId="6" borderId="22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/>
      <protection hidden="1" locked="0"/>
    </xf>
    <xf numFmtId="0" fontId="5" fillId="6" borderId="9" xfId="0" applyFont="1" applyFill="1" applyBorder="1" applyAlignment="1" applyProtection="1">
      <alignment horizontal="right" vertical="center"/>
      <protection hidden="1"/>
    </xf>
    <xf numFmtId="0" fontId="9" fillId="6" borderId="5" xfId="0" applyFont="1" applyFill="1" applyBorder="1" applyAlignment="1" applyProtection="1">
      <alignment horizontal="center"/>
      <protection hidden="1" locked="0"/>
    </xf>
    <xf numFmtId="0" fontId="16" fillId="6" borderId="41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2" fontId="1" fillId="6" borderId="42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0" fontId="18" fillId="6" borderId="0" xfId="0" applyFont="1" applyFill="1" applyBorder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 locked="0"/>
    </xf>
    <xf numFmtId="2" fontId="9" fillId="6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2" fontId="2" fillId="4" borderId="4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6" borderId="0" xfId="0" applyFont="1" applyFill="1" applyBorder="1" applyAlignment="1" applyProtection="1">
      <alignment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2" fontId="5" fillId="6" borderId="5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6" xfId="0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2" fontId="5" fillId="6" borderId="13" xfId="0" applyNumberFormat="1" applyFont="1" applyFill="1" applyBorder="1" applyAlignment="1" applyProtection="1">
      <alignment horizontal="center"/>
      <protection hidden="1"/>
    </xf>
    <xf numFmtId="2" fontId="1" fillId="6" borderId="13" xfId="0" applyNumberFormat="1" applyFont="1" applyFill="1" applyBorder="1" applyAlignment="1" applyProtection="1">
      <alignment horizontal="center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/>
      <protection hidden="1" locked="0"/>
    </xf>
    <xf numFmtId="0" fontId="34" fillId="6" borderId="0" xfId="0" applyFont="1" applyFill="1" applyBorder="1" applyAlignment="1" applyProtection="1">
      <alignment/>
      <protection hidden="1"/>
    </xf>
    <xf numFmtId="0" fontId="0" fillId="0" borderId="1" xfId="0" applyBorder="1" applyProtection="1"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9" fillId="6" borderId="8" xfId="0" applyFont="1" applyFill="1" applyBorder="1" applyAlignment="1" applyProtection="1">
      <alignment horizontal="center"/>
      <protection hidden="1" locked="0"/>
    </xf>
    <xf numFmtId="0" fontId="29" fillId="6" borderId="9" xfId="0" applyFont="1" applyFill="1" applyBorder="1" applyAlignment="1" applyProtection="1">
      <alignment horizontal="center"/>
      <protection hidden="1" locked="0"/>
    </xf>
    <xf numFmtId="2" fontId="18" fillId="6" borderId="14" xfId="0" applyNumberFormat="1" applyFont="1" applyFill="1" applyBorder="1" applyAlignment="1" applyProtection="1">
      <alignment horizontal="center"/>
      <protection hidden="1" locked="0"/>
    </xf>
    <xf numFmtId="2" fontId="18" fillId="6" borderId="15" xfId="0" applyNumberFormat="1" applyFont="1" applyFill="1" applyBorder="1" applyAlignment="1" applyProtection="1">
      <alignment horizontal="center"/>
      <protection hidden="1" locked="0"/>
    </xf>
    <xf numFmtId="0" fontId="1" fillId="6" borderId="6" xfId="0" applyFont="1" applyFill="1" applyBorder="1" applyAlignment="1" applyProtection="1">
      <alignment horizontal="center"/>
      <protection hidden="1" locked="0"/>
    </xf>
    <xf numFmtId="0" fontId="1" fillId="6" borderId="22" xfId="0" applyFont="1" applyFill="1" applyBorder="1" applyAlignment="1" applyProtection="1">
      <alignment horizontal="center"/>
      <protection hidden="1" locked="0"/>
    </xf>
    <xf numFmtId="0" fontId="20" fillId="6" borderId="4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 hidden="1" locked="0"/>
    </xf>
    <xf numFmtId="15" fontId="5" fillId="6" borderId="7" xfId="0" applyNumberFormat="1" applyFont="1" applyFill="1" applyBorder="1" applyAlignment="1" applyProtection="1">
      <alignment horizontal="center"/>
      <protection hidden="1" locked="0"/>
    </xf>
    <xf numFmtId="15" fontId="5" fillId="6" borderId="8" xfId="0" applyNumberFormat="1" applyFont="1" applyFill="1" applyBorder="1" applyAlignment="1" applyProtection="1">
      <alignment horizontal="center"/>
      <protection hidden="1" locked="0"/>
    </xf>
    <xf numFmtId="0" fontId="5" fillId="6" borderId="4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 locked="0"/>
    </xf>
    <xf numFmtId="0" fontId="1" fillId="6" borderId="5" xfId="0" applyFont="1" applyFill="1" applyBorder="1" applyAlignment="1" applyProtection="1">
      <alignment horizontal="center" vertical="center"/>
      <protection hidden="1" locked="0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 locked="0"/>
    </xf>
    <xf numFmtId="0" fontId="1" fillId="6" borderId="3" xfId="0" applyFont="1" applyFill="1" applyBorder="1" applyAlignment="1" applyProtection="1">
      <alignment horizontal="center"/>
      <protection hidden="1" locked="0"/>
    </xf>
    <xf numFmtId="0" fontId="1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Font="1" applyFill="1" applyBorder="1" applyAlignment="1" applyProtection="1">
      <alignment horizontal="center"/>
      <protection hidden="1" locked="0"/>
    </xf>
    <xf numFmtId="0" fontId="29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NumberFormat="1" applyFont="1" applyFill="1" applyBorder="1" applyAlignment="1" applyProtection="1">
      <alignment horizontal="center"/>
      <protection hidden="1" locked="0"/>
    </xf>
    <xf numFmtId="0" fontId="29" fillId="6" borderId="4" xfId="0" applyNumberFormat="1" applyFont="1" applyFill="1" applyBorder="1" applyAlignment="1" applyProtection="1">
      <alignment horizontal="center"/>
      <protection hidden="1" locked="0"/>
    </xf>
    <xf numFmtId="0" fontId="29" fillId="6" borderId="5" xfId="0" applyNumberFormat="1" applyFont="1" applyFill="1" applyBorder="1" applyAlignment="1" applyProtection="1">
      <alignment horizontal="center"/>
      <protection hidden="1" locked="0"/>
    </xf>
    <xf numFmtId="49" fontId="0" fillId="6" borderId="3" xfId="0" applyNumberFormat="1" applyFill="1" applyBorder="1" applyAlignment="1" applyProtection="1">
      <alignment horizontal="center"/>
      <protection hidden="1"/>
    </xf>
    <xf numFmtId="49" fontId="0" fillId="6" borderId="5" xfId="0" applyNumberForma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6" borderId="4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 locked="0"/>
    </xf>
    <xf numFmtId="0" fontId="1" fillId="0" borderId="4" xfId="0" applyFont="1" applyFill="1" applyBorder="1" applyAlignment="1" applyProtection="1">
      <alignment horizontal="left" vertical="center"/>
      <protection hidden="1" locked="0"/>
    </xf>
    <xf numFmtId="0" fontId="1" fillId="6" borderId="43" xfId="0" applyFont="1" applyFill="1" applyBorder="1" applyAlignment="1" applyProtection="1">
      <alignment horizontal="center"/>
      <protection hidden="1" locked="0"/>
    </xf>
    <xf numFmtId="0" fontId="1" fillId="6" borderId="38" xfId="0" applyFont="1" applyFill="1" applyBorder="1" applyAlignment="1" applyProtection="1">
      <alignment horizontal="center"/>
      <protection hidden="1" locked="0"/>
    </xf>
    <xf numFmtId="49" fontId="0" fillId="6" borderId="3" xfId="0" applyNumberFormat="1" applyFont="1" applyFill="1" applyBorder="1" applyAlignment="1" applyProtection="1">
      <alignment horizontal="center"/>
      <protection hidden="1"/>
    </xf>
    <xf numFmtId="49" fontId="0" fillId="6" borderId="5" xfId="0" applyNumberFormat="1" applyFont="1" applyFill="1" applyBorder="1" applyAlignment="1" applyProtection="1">
      <alignment horizontal="center"/>
      <protection hidden="1"/>
    </xf>
    <xf numFmtId="0" fontId="1" fillId="6" borderId="47" xfId="0" applyFont="1" applyFill="1" applyBorder="1" applyAlignment="1" applyProtection="1">
      <alignment horizontal="center"/>
      <protection hidden="1" locked="0"/>
    </xf>
    <xf numFmtId="0" fontId="1" fillId="6" borderId="48" xfId="0" applyFont="1" applyFill="1" applyBorder="1" applyAlignment="1" applyProtection="1">
      <alignment horizontal="center"/>
      <protection hidden="1" locked="0"/>
    </xf>
    <xf numFmtId="0" fontId="1" fillId="0" borderId="5" xfId="0" applyFont="1" applyFill="1" applyBorder="1" applyAlignment="1" applyProtection="1">
      <alignment horizontal="left" vertical="center"/>
      <protection hidden="1" locked="0"/>
    </xf>
    <xf numFmtId="15" fontId="5" fillId="6" borderId="3" xfId="0" applyNumberFormat="1" applyFont="1" applyFill="1" applyBorder="1" applyAlignment="1" applyProtection="1">
      <alignment horizontal="center"/>
      <protection hidden="1" locked="0"/>
    </xf>
    <xf numFmtId="15" fontId="5" fillId="6" borderId="4" xfId="0" applyNumberFormat="1" applyFont="1" applyFill="1" applyBorder="1" applyAlignment="1" applyProtection="1">
      <alignment horizontal="center"/>
      <protection hidden="1" locked="0"/>
    </xf>
    <xf numFmtId="15" fontId="5" fillId="6" borderId="5" xfId="0" applyNumberFormat="1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22" xfId="0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49" xfId="0" applyNumberFormat="1" applyFont="1" applyFill="1" applyBorder="1" applyAlignment="1" applyProtection="1">
      <alignment horizontal="center"/>
      <protection hidden="1" locked="0"/>
    </xf>
    <xf numFmtId="3" fontId="5" fillId="6" borderId="50" xfId="0" applyNumberFormat="1" applyFont="1" applyFill="1" applyBorder="1" applyAlignment="1" applyProtection="1">
      <alignment horizontal="center"/>
      <protection hidden="1" locked="0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49" fontId="29" fillId="6" borderId="3" xfId="0" applyNumberFormat="1" applyFont="1" applyFill="1" applyBorder="1" applyAlignment="1" applyProtection="1">
      <alignment horizontal="center"/>
      <protection hidden="1" locked="0"/>
    </xf>
    <xf numFmtId="49" fontId="29" fillId="6" borderId="4" xfId="0" applyNumberFormat="1" applyFont="1" applyFill="1" applyBorder="1" applyAlignment="1" applyProtection="1">
      <alignment horizontal="center"/>
      <protection hidden="1" locked="0"/>
    </xf>
    <xf numFmtId="49" fontId="29" fillId="6" borderId="5" xfId="0" applyNumberFormat="1" applyFont="1" applyFill="1" applyBorder="1" applyAlignment="1" applyProtection="1">
      <alignment horizontal="center"/>
      <protection hidden="1" locked="0"/>
    </xf>
    <xf numFmtId="0" fontId="30" fillId="0" borderId="3" xfId="0" applyFont="1" applyFill="1" applyBorder="1" applyAlignment="1" applyProtection="1">
      <alignment horizontal="left" vertical="center"/>
      <protection hidden="1" locked="0"/>
    </xf>
    <xf numFmtId="0" fontId="30" fillId="0" borderId="4" xfId="0" applyFont="1" applyFill="1" applyBorder="1" applyAlignment="1" applyProtection="1">
      <alignment horizontal="left" vertical="center"/>
      <protection hidden="1" locked="0"/>
    </xf>
    <xf numFmtId="0" fontId="26" fillId="6" borderId="7" xfId="0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6" xfId="0" applyFont="1" applyFill="1" applyBorder="1" applyAlignment="1" applyProtection="1">
      <alignment horizontal="center" vertical="center"/>
      <protection hidden="1"/>
    </xf>
    <xf numFmtId="0" fontId="18" fillId="6" borderId="6" xfId="0" applyFont="1" applyFill="1" applyBorder="1" applyAlignment="1" applyProtection="1">
      <alignment horizontal="left" vertical="center"/>
      <protection hidden="1" locked="0"/>
    </xf>
    <xf numFmtId="0" fontId="18" fillId="6" borderId="22" xfId="0" applyFont="1" applyFill="1" applyBorder="1" applyAlignment="1" applyProtection="1">
      <alignment horizontal="left" vertical="center"/>
      <protection hidden="1" locked="0"/>
    </xf>
    <xf numFmtId="0" fontId="0" fillId="6" borderId="8" xfId="0" applyFill="1" applyBorder="1" applyAlignment="1" applyProtection="1">
      <alignment horizontal="left" vertical="center"/>
      <protection hidden="1" locked="0"/>
    </xf>
    <xf numFmtId="0" fontId="0" fillId="6" borderId="9" xfId="0" applyFill="1" applyBorder="1" applyAlignment="1" applyProtection="1">
      <alignment horizontal="left" vertical="center"/>
      <protection hidden="1" locked="0"/>
    </xf>
    <xf numFmtId="0" fontId="20" fillId="6" borderId="4" xfId="0" applyFont="1" applyFill="1" applyBorder="1" applyAlignment="1" applyProtection="1">
      <alignment horizontal="center" vertical="center"/>
      <protection hidden="1"/>
    </xf>
    <xf numFmtId="2" fontId="1" fillId="6" borderId="14" xfId="0" applyNumberFormat="1" applyFont="1" applyFill="1" applyBorder="1" applyAlignment="1" applyProtection="1">
      <alignment horizontal="center"/>
      <protection hidden="1" locked="0"/>
    </xf>
    <xf numFmtId="2" fontId="1" fillId="6" borderId="15" xfId="0" applyNumberFormat="1" applyFont="1" applyFill="1" applyBorder="1" applyAlignment="1" applyProtection="1">
      <alignment horizontal="center"/>
      <protection hidden="1" locked="0"/>
    </xf>
    <xf numFmtId="15" fontId="5" fillId="6" borderId="9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4" xfId="0" applyFont="1" applyFill="1" applyBorder="1" applyAlignment="1" applyProtection="1">
      <alignment horizontal="center" vertical="center"/>
      <protection hidden="1"/>
    </xf>
    <xf numFmtId="0" fontId="27" fillId="6" borderId="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7"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285875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0195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85725</xdr:colOff>
      <xdr:row>70</xdr:row>
      <xdr:rowOff>47625</xdr:rowOff>
    </xdr:from>
    <xdr:to>
      <xdr:col>2</xdr:col>
      <xdr:colOff>333375</xdr:colOff>
      <xdr:row>70</xdr:row>
      <xdr:rowOff>123825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71</xdr:row>
      <xdr:rowOff>47625</xdr:rowOff>
    </xdr:from>
    <xdr:to>
      <xdr:col>2</xdr:col>
      <xdr:colOff>333375</xdr:colOff>
      <xdr:row>71</xdr:row>
      <xdr:rowOff>123825</xdr:rowOff>
    </xdr:to>
    <xdr:sp macro="" textlink="">
      <xdr:nvSpPr>
        <xdr:cNvPr id="13" name="AutoShape 21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72</xdr:row>
      <xdr:rowOff>47625</xdr:rowOff>
    </xdr:from>
    <xdr:to>
      <xdr:col>2</xdr:col>
      <xdr:colOff>333375</xdr:colOff>
      <xdr:row>72</xdr:row>
      <xdr:rowOff>123825</xdr:rowOff>
    </xdr:to>
    <xdr:sp macro="" textlink="">
      <xdr:nvSpPr>
        <xdr:cNvPr id="14" name="AutoShape 22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66</xdr:row>
      <xdr:rowOff>28575</xdr:rowOff>
    </xdr:from>
    <xdr:to>
      <xdr:col>2</xdr:col>
      <xdr:colOff>323850</xdr:colOff>
      <xdr:row>66</xdr:row>
      <xdr:rowOff>142875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295400" y="11677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68</xdr:row>
      <xdr:rowOff>66675</xdr:rowOff>
    </xdr:from>
    <xdr:to>
      <xdr:col>2</xdr:col>
      <xdr:colOff>323850</xdr:colOff>
      <xdr:row>68</xdr:row>
      <xdr:rowOff>142875</xdr:rowOff>
    </xdr:to>
    <xdr:sp macro="" textlink="">
      <xdr:nvSpPr>
        <xdr:cNvPr id="16" name="AutoShape 24"/>
        <xdr:cNvSpPr>
          <a:spLocks noChangeArrowheads="1"/>
        </xdr:cNvSpPr>
      </xdr:nvSpPr>
      <xdr:spPr bwMode="auto">
        <a:xfrm>
          <a:off x="12763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85725</xdr:rowOff>
    </xdr:from>
    <xdr:to>
      <xdr:col>12</xdr:col>
      <xdr:colOff>476250</xdr:colOff>
      <xdr:row>68</xdr:row>
      <xdr:rowOff>161925</xdr:rowOff>
    </xdr:to>
    <xdr:sp macro="" textlink="">
      <xdr:nvSpPr>
        <xdr:cNvPr id="17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64</xdr:row>
      <xdr:rowOff>47625</xdr:rowOff>
    </xdr:from>
    <xdr:to>
      <xdr:col>2</xdr:col>
      <xdr:colOff>361950</xdr:colOff>
      <xdr:row>64</xdr:row>
      <xdr:rowOff>152400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276350" y="11677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77</xdr:row>
      <xdr:rowOff>66675</xdr:rowOff>
    </xdr:from>
    <xdr:to>
      <xdr:col>12</xdr:col>
      <xdr:colOff>647700</xdr:colOff>
      <xdr:row>77</xdr:row>
      <xdr:rowOff>142875</xdr:rowOff>
    </xdr:to>
    <xdr:sp macro="" textlink="">
      <xdr:nvSpPr>
        <xdr:cNvPr id="19" name="AutoShape 25"/>
        <xdr:cNvSpPr>
          <a:spLocks noChangeArrowheads="1"/>
        </xdr:cNvSpPr>
      </xdr:nvSpPr>
      <xdr:spPr bwMode="auto">
        <a:xfrm>
          <a:off x="84867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129</xdr:row>
      <xdr:rowOff>47625</xdr:rowOff>
    </xdr:from>
    <xdr:to>
      <xdr:col>2</xdr:col>
      <xdr:colOff>333375</xdr:colOff>
      <xdr:row>129</xdr:row>
      <xdr:rowOff>123825</xdr:rowOff>
    </xdr:to>
    <xdr:sp macro="" textlink="">
      <xdr:nvSpPr>
        <xdr:cNvPr id="21" name="AutoShape 20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130</xdr:row>
      <xdr:rowOff>47625</xdr:rowOff>
    </xdr:from>
    <xdr:to>
      <xdr:col>2</xdr:col>
      <xdr:colOff>333375</xdr:colOff>
      <xdr:row>130</xdr:row>
      <xdr:rowOff>123825</xdr:rowOff>
    </xdr:to>
    <xdr:sp macro="" textlink="">
      <xdr:nvSpPr>
        <xdr:cNvPr id="22" name="AutoShape 21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131</xdr:row>
      <xdr:rowOff>47625</xdr:rowOff>
    </xdr:from>
    <xdr:to>
      <xdr:col>2</xdr:col>
      <xdr:colOff>333375</xdr:colOff>
      <xdr:row>131</xdr:row>
      <xdr:rowOff>123825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125</xdr:row>
      <xdr:rowOff>28575</xdr:rowOff>
    </xdr:from>
    <xdr:to>
      <xdr:col>2</xdr:col>
      <xdr:colOff>323850</xdr:colOff>
      <xdr:row>125</xdr:row>
      <xdr:rowOff>142875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295400" y="11677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127</xdr:row>
      <xdr:rowOff>66675</xdr:rowOff>
    </xdr:from>
    <xdr:to>
      <xdr:col>2</xdr:col>
      <xdr:colOff>323850</xdr:colOff>
      <xdr:row>127</xdr:row>
      <xdr:rowOff>142875</xdr:rowOff>
    </xdr:to>
    <xdr:sp macro="" textlink="">
      <xdr:nvSpPr>
        <xdr:cNvPr id="25" name="AutoShape 24"/>
        <xdr:cNvSpPr>
          <a:spLocks noChangeArrowheads="1"/>
        </xdr:cNvSpPr>
      </xdr:nvSpPr>
      <xdr:spPr bwMode="auto">
        <a:xfrm>
          <a:off x="12763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123</xdr:row>
      <xdr:rowOff>47625</xdr:rowOff>
    </xdr:from>
    <xdr:to>
      <xdr:col>2</xdr:col>
      <xdr:colOff>361950</xdr:colOff>
      <xdr:row>123</xdr:row>
      <xdr:rowOff>152400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276350" y="11677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136</xdr:row>
      <xdr:rowOff>66675</xdr:rowOff>
    </xdr:from>
    <xdr:to>
      <xdr:col>12</xdr:col>
      <xdr:colOff>647700</xdr:colOff>
      <xdr:row>136</xdr:row>
      <xdr:rowOff>142875</xdr:rowOff>
    </xdr:to>
    <xdr:sp macro="" textlink="">
      <xdr:nvSpPr>
        <xdr:cNvPr id="28" name="AutoShape 25"/>
        <xdr:cNvSpPr>
          <a:spLocks noChangeArrowheads="1"/>
        </xdr:cNvSpPr>
      </xdr:nvSpPr>
      <xdr:spPr bwMode="auto">
        <a:xfrm>
          <a:off x="84867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188</xdr:row>
      <xdr:rowOff>47625</xdr:rowOff>
    </xdr:from>
    <xdr:to>
      <xdr:col>2</xdr:col>
      <xdr:colOff>333375</xdr:colOff>
      <xdr:row>188</xdr:row>
      <xdr:rowOff>123825</xdr:rowOff>
    </xdr:to>
    <xdr:sp macro="" textlink="">
      <xdr:nvSpPr>
        <xdr:cNvPr id="30" name="AutoShape 20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189</xdr:row>
      <xdr:rowOff>47625</xdr:rowOff>
    </xdr:from>
    <xdr:to>
      <xdr:col>2</xdr:col>
      <xdr:colOff>333375</xdr:colOff>
      <xdr:row>189</xdr:row>
      <xdr:rowOff>123825</xdr:rowOff>
    </xdr:to>
    <xdr:sp macro="" textlink="">
      <xdr:nvSpPr>
        <xdr:cNvPr id="31" name="AutoShape 21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190</xdr:row>
      <xdr:rowOff>47625</xdr:rowOff>
    </xdr:from>
    <xdr:to>
      <xdr:col>2</xdr:col>
      <xdr:colOff>333375</xdr:colOff>
      <xdr:row>190</xdr:row>
      <xdr:rowOff>123825</xdr:rowOff>
    </xdr:to>
    <xdr:sp macro="" textlink="">
      <xdr:nvSpPr>
        <xdr:cNvPr id="32" name="AutoShape 22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184</xdr:row>
      <xdr:rowOff>28575</xdr:rowOff>
    </xdr:from>
    <xdr:to>
      <xdr:col>2</xdr:col>
      <xdr:colOff>323850</xdr:colOff>
      <xdr:row>184</xdr:row>
      <xdr:rowOff>142875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295400" y="11677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186</xdr:row>
      <xdr:rowOff>66675</xdr:rowOff>
    </xdr:from>
    <xdr:to>
      <xdr:col>2</xdr:col>
      <xdr:colOff>323850</xdr:colOff>
      <xdr:row>186</xdr:row>
      <xdr:rowOff>142875</xdr:rowOff>
    </xdr:to>
    <xdr:sp macro="" textlink="">
      <xdr:nvSpPr>
        <xdr:cNvPr id="34" name="AutoShape 24"/>
        <xdr:cNvSpPr>
          <a:spLocks noChangeArrowheads="1"/>
        </xdr:cNvSpPr>
      </xdr:nvSpPr>
      <xdr:spPr bwMode="auto">
        <a:xfrm>
          <a:off x="12763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186</xdr:row>
      <xdr:rowOff>95250</xdr:rowOff>
    </xdr:from>
    <xdr:to>
      <xdr:col>12</xdr:col>
      <xdr:colOff>476250</xdr:colOff>
      <xdr:row>186</xdr:row>
      <xdr:rowOff>171450</xdr:rowOff>
    </xdr:to>
    <xdr:sp macro="" textlink="">
      <xdr:nvSpPr>
        <xdr:cNvPr id="35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182</xdr:row>
      <xdr:rowOff>47625</xdr:rowOff>
    </xdr:from>
    <xdr:to>
      <xdr:col>2</xdr:col>
      <xdr:colOff>361950</xdr:colOff>
      <xdr:row>182</xdr:row>
      <xdr:rowOff>152400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276350" y="11677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195</xdr:row>
      <xdr:rowOff>66675</xdr:rowOff>
    </xdr:from>
    <xdr:to>
      <xdr:col>12</xdr:col>
      <xdr:colOff>647700</xdr:colOff>
      <xdr:row>195</xdr:row>
      <xdr:rowOff>142875</xdr:rowOff>
    </xdr:to>
    <xdr:sp macro="" textlink="">
      <xdr:nvSpPr>
        <xdr:cNvPr id="37" name="AutoShape 25"/>
        <xdr:cNvSpPr>
          <a:spLocks noChangeArrowheads="1"/>
        </xdr:cNvSpPr>
      </xdr:nvSpPr>
      <xdr:spPr bwMode="auto">
        <a:xfrm>
          <a:off x="84867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246</xdr:row>
      <xdr:rowOff>47625</xdr:rowOff>
    </xdr:from>
    <xdr:to>
      <xdr:col>2</xdr:col>
      <xdr:colOff>333375</xdr:colOff>
      <xdr:row>246</xdr:row>
      <xdr:rowOff>123825</xdr:rowOff>
    </xdr:to>
    <xdr:sp macro="" textlink="">
      <xdr:nvSpPr>
        <xdr:cNvPr id="39" name="AutoShape 20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247</xdr:row>
      <xdr:rowOff>47625</xdr:rowOff>
    </xdr:from>
    <xdr:to>
      <xdr:col>2</xdr:col>
      <xdr:colOff>333375</xdr:colOff>
      <xdr:row>247</xdr:row>
      <xdr:rowOff>123825</xdr:rowOff>
    </xdr:to>
    <xdr:sp macro="" textlink="">
      <xdr:nvSpPr>
        <xdr:cNvPr id="40" name="AutoShape 21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248</xdr:row>
      <xdr:rowOff>47625</xdr:rowOff>
    </xdr:from>
    <xdr:to>
      <xdr:col>2</xdr:col>
      <xdr:colOff>333375</xdr:colOff>
      <xdr:row>248</xdr:row>
      <xdr:rowOff>123825</xdr:rowOff>
    </xdr:to>
    <xdr:sp macro="" textlink="">
      <xdr:nvSpPr>
        <xdr:cNvPr id="41" name="AutoShape 22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242</xdr:row>
      <xdr:rowOff>28575</xdr:rowOff>
    </xdr:from>
    <xdr:to>
      <xdr:col>2</xdr:col>
      <xdr:colOff>323850</xdr:colOff>
      <xdr:row>242</xdr:row>
      <xdr:rowOff>142875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295400" y="11677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244</xdr:row>
      <xdr:rowOff>66675</xdr:rowOff>
    </xdr:from>
    <xdr:to>
      <xdr:col>2</xdr:col>
      <xdr:colOff>323850</xdr:colOff>
      <xdr:row>244</xdr:row>
      <xdr:rowOff>142875</xdr:rowOff>
    </xdr:to>
    <xdr:sp macro="" textlink="">
      <xdr:nvSpPr>
        <xdr:cNvPr id="43" name="AutoShape 24"/>
        <xdr:cNvSpPr>
          <a:spLocks noChangeArrowheads="1"/>
        </xdr:cNvSpPr>
      </xdr:nvSpPr>
      <xdr:spPr bwMode="auto">
        <a:xfrm>
          <a:off x="12763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244</xdr:row>
      <xdr:rowOff>76200</xdr:rowOff>
    </xdr:from>
    <xdr:to>
      <xdr:col>12</xdr:col>
      <xdr:colOff>476250</xdr:colOff>
      <xdr:row>244</xdr:row>
      <xdr:rowOff>152400</xdr:rowOff>
    </xdr:to>
    <xdr:sp macro="" textlink="">
      <xdr:nvSpPr>
        <xdr:cNvPr id="44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240</xdr:row>
      <xdr:rowOff>47625</xdr:rowOff>
    </xdr:from>
    <xdr:to>
      <xdr:col>2</xdr:col>
      <xdr:colOff>361950</xdr:colOff>
      <xdr:row>240</xdr:row>
      <xdr:rowOff>152400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276350" y="11677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253</xdr:row>
      <xdr:rowOff>66675</xdr:rowOff>
    </xdr:from>
    <xdr:to>
      <xdr:col>12</xdr:col>
      <xdr:colOff>647700</xdr:colOff>
      <xdr:row>253</xdr:row>
      <xdr:rowOff>142875</xdr:rowOff>
    </xdr:to>
    <xdr:sp macro="" textlink="">
      <xdr:nvSpPr>
        <xdr:cNvPr id="46" name="AutoShape 25"/>
        <xdr:cNvSpPr>
          <a:spLocks noChangeArrowheads="1"/>
        </xdr:cNvSpPr>
      </xdr:nvSpPr>
      <xdr:spPr bwMode="auto">
        <a:xfrm>
          <a:off x="84867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304</xdr:row>
      <xdr:rowOff>47625</xdr:rowOff>
    </xdr:from>
    <xdr:to>
      <xdr:col>2</xdr:col>
      <xdr:colOff>333375</xdr:colOff>
      <xdr:row>304</xdr:row>
      <xdr:rowOff>123825</xdr:rowOff>
    </xdr:to>
    <xdr:sp macro="" textlink="">
      <xdr:nvSpPr>
        <xdr:cNvPr id="48" name="AutoShape 20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305</xdr:row>
      <xdr:rowOff>47625</xdr:rowOff>
    </xdr:from>
    <xdr:to>
      <xdr:col>2</xdr:col>
      <xdr:colOff>333375</xdr:colOff>
      <xdr:row>305</xdr:row>
      <xdr:rowOff>123825</xdr:rowOff>
    </xdr:to>
    <xdr:sp macro="" textlink="">
      <xdr:nvSpPr>
        <xdr:cNvPr id="49" name="AutoShape 21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306</xdr:row>
      <xdr:rowOff>47625</xdr:rowOff>
    </xdr:from>
    <xdr:to>
      <xdr:col>2</xdr:col>
      <xdr:colOff>333375</xdr:colOff>
      <xdr:row>306</xdr:row>
      <xdr:rowOff>123825</xdr:rowOff>
    </xdr:to>
    <xdr:sp macro="" textlink="">
      <xdr:nvSpPr>
        <xdr:cNvPr id="50" name="AutoShape 22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300</xdr:row>
      <xdr:rowOff>28575</xdr:rowOff>
    </xdr:from>
    <xdr:to>
      <xdr:col>2</xdr:col>
      <xdr:colOff>323850</xdr:colOff>
      <xdr:row>300</xdr:row>
      <xdr:rowOff>142875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295400" y="11677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302</xdr:row>
      <xdr:rowOff>66675</xdr:rowOff>
    </xdr:from>
    <xdr:to>
      <xdr:col>2</xdr:col>
      <xdr:colOff>323850</xdr:colOff>
      <xdr:row>302</xdr:row>
      <xdr:rowOff>142875</xdr:rowOff>
    </xdr:to>
    <xdr:sp macro="" textlink="">
      <xdr:nvSpPr>
        <xdr:cNvPr id="52" name="AutoShape 24"/>
        <xdr:cNvSpPr>
          <a:spLocks noChangeArrowheads="1"/>
        </xdr:cNvSpPr>
      </xdr:nvSpPr>
      <xdr:spPr bwMode="auto">
        <a:xfrm>
          <a:off x="12763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302</xdr:row>
      <xdr:rowOff>95250</xdr:rowOff>
    </xdr:from>
    <xdr:to>
      <xdr:col>12</xdr:col>
      <xdr:colOff>476250</xdr:colOff>
      <xdr:row>302</xdr:row>
      <xdr:rowOff>171450</xdr:rowOff>
    </xdr:to>
    <xdr:sp macro="" textlink="">
      <xdr:nvSpPr>
        <xdr:cNvPr id="53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298</xdr:row>
      <xdr:rowOff>47625</xdr:rowOff>
    </xdr:from>
    <xdr:to>
      <xdr:col>2</xdr:col>
      <xdr:colOff>361950</xdr:colOff>
      <xdr:row>298</xdr:row>
      <xdr:rowOff>152400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276350" y="11677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311</xdr:row>
      <xdr:rowOff>66675</xdr:rowOff>
    </xdr:from>
    <xdr:to>
      <xdr:col>12</xdr:col>
      <xdr:colOff>647700</xdr:colOff>
      <xdr:row>311</xdr:row>
      <xdr:rowOff>142875</xdr:rowOff>
    </xdr:to>
    <xdr:sp macro="" textlink="">
      <xdr:nvSpPr>
        <xdr:cNvPr id="55" name="AutoShape 25"/>
        <xdr:cNvSpPr>
          <a:spLocks noChangeArrowheads="1"/>
        </xdr:cNvSpPr>
      </xdr:nvSpPr>
      <xdr:spPr bwMode="auto">
        <a:xfrm>
          <a:off x="84867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362</xdr:row>
      <xdr:rowOff>47625</xdr:rowOff>
    </xdr:from>
    <xdr:to>
      <xdr:col>2</xdr:col>
      <xdr:colOff>333375</xdr:colOff>
      <xdr:row>362</xdr:row>
      <xdr:rowOff>123825</xdr:rowOff>
    </xdr:to>
    <xdr:sp macro="" textlink="">
      <xdr:nvSpPr>
        <xdr:cNvPr id="57" name="AutoShape 20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363</xdr:row>
      <xdr:rowOff>47625</xdr:rowOff>
    </xdr:from>
    <xdr:to>
      <xdr:col>2</xdr:col>
      <xdr:colOff>333375</xdr:colOff>
      <xdr:row>363</xdr:row>
      <xdr:rowOff>123825</xdr:rowOff>
    </xdr:to>
    <xdr:sp macro="" textlink="">
      <xdr:nvSpPr>
        <xdr:cNvPr id="58" name="AutoShape 21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364</xdr:row>
      <xdr:rowOff>47625</xdr:rowOff>
    </xdr:from>
    <xdr:to>
      <xdr:col>2</xdr:col>
      <xdr:colOff>333375</xdr:colOff>
      <xdr:row>364</xdr:row>
      <xdr:rowOff>123825</xdr:rowOff>
    </xdr:to>
    <xdr:sp macro="" textlink="">
      <xdr:nvSpPr>
        <xdr:cNvPr id="59" name="AutoShape 22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358</xdr:row>
      <xdr:rowOff>28575</xdr:rowOff>
    </xdr:from>
    <xdr:to>
      <xdr:col>2</xdr:col>
      <xdr:colOff>323850</xdr:colOff>
      <xdr:row>358</xdr:row>
      <xdr:rowOff>142875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295400" y="11677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360</xdr:row>
      <xdr:rowOff>66675</xdr:rowOff>
    </xdr:from>
    <xdr:to>
      <xdr:col>2</xdr:col>
      <xdr:colOff>323850</xdr:colOff>
      <xdr:row>360</xdr:row>
      <xdr:rowOff>142875</xdr:rowOff>
    </xdr:to>
    <xdr:sp macro="" textlink="">
      <xdr:nvSpPr>
        <xdr:cNvPr id="61" name="AutoShape 24"/>
        <xdr:cNvSpPr>
          <a:spLocks noChangeArrowheads="1"/>
        </xdr:cNvSpPr>
      </xdr:nvSpPr>
      <xdr:spPr bwMode="auto">
        <a:xfrm>
          <a:off x="12763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360</xdr:row>
      <xdr:rowOff>85725</xdr:rowOff>
    </xdr:from>
    <xdr:to>
      <xdr:col>12</xdr:col>
      <xdr:colOff>476250</xdr:colOff>
      <xdr:row>360</xdr:row>
      <xdr:rowOff>161925</xdr:rowOff>
    </xdr:to>
    <xdr:sp macro="" textlink="">
      <xdr:nvSpPr>
        <xdr:cNvPr id="62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356</xdr:row>
      <xdr:rowOff>47625</xdr:rowOff>
    </xdr:from>
    <xdr:to>
      <xdr:col>2</xdr:col>
      <xdr:colOff>361950</xdr:colOff>
      <xdr:row>356</xdr:row>
      <xdr:rowOff>152400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276350" y="11677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369</xdr:row>
      <xdr:rowOff>66675</xdr:rowOff>
    </xdr:from>
    <xdr:to>
      <xdr:col>12</xdr:col>
      <xdr:colOff>647700</xdr:colOff>
      <xdr:row>369</xdr:row>
      <xdr:rowOff>142875</xdr:rowOff>
    </xdr:to>
    <xdr:sp macro="" textlink="">
      <xdr:nvSpPr>
        <xdr:cNvPr id="64" name="AutoShape 25"/>
        <xdr:cNvSpPr>
          <a:spLocks noChangeArrowheads="1"/>
        </xdr:cNvSpPr>
      </xdr:nvSpPr>
      <xdr:spPr bwMode="auto">
        <a:xfrm>
          <a:off x="84867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420</xdr:row>
      <xdr:rowOff>47625</xdr:rowOff>
    </xdr:from>
    <xdr:to>
      <xdr:col>2</xdr:col>
      <xdr:colOff>333375</xdr:colOff>
      <xdr:row>420</xdr:row>
      <xdr:rowOff>123825</xdr:rowOff>
    </xdr:to>
    <xdr:sp macro="" textlink="">
      <xdr:nvSpPr>
        <xdr:cNvPr id="66" name="AutoShape 20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421</xdr:row>
      <xdr:rowOff>47625</xdr:rowOff>
    </xdr:from>
    <xdr:to>
      <xdr:col>2</xdr:col>
      <xdr:colOff>333375</xdr:colOff>
      <xdr:row>421</xdr:row>
      <xdr:rowOff>123825</xdr:rowOff>
    </xdr:to>
    <xdr:sp macro="" textlink="">
      <xdr:nvSpPr>
        <xdr:cNvPr id="67" name="AutoShape 21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422</xdr:row>
      <xdr:rowOff>47625</xdr:rowOff>
    </xdr:from>
    <xdr:to>
      <xdr:col>2</xdr:col>
      <xdr:colOff>333375</xdr:colOff>
      <xdr:row>422</xdr:row>
      <xdr:rowOff>123825</xdr:rowOff>
    </xdr:to>
    <xdr:sp macro="" textlink="">
      <xdr:nvSpPr>
        <xdr:cNvPr id="68" name="AutoShape 22"/>
        <xdr:cNvSpPr>
          <a:spLocks noChangeArrowheads="1"/>
        </xdr:cNvSpPr>
      </xdr:nvSpPr>
      <xdr:spPr bwMode="auto">
        <a:xfrm>
          <a:off x="12858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416</xdr:row>
      <xdr:rowOff>28575</xdr:rowOff>
    </xdr:from>
    <xdr:to>
      <xdr:col>2</xdr:col>
      <xdr:colOff>323850</xdr:colOff>
      <xdr:row>416</xdr:row>
      <xdr:rowOff>142875</xdr:rowOff>
    </xdr:to>
    <xdr:sp macro="" textlink="">
      <xdr:nvSpPr>
        <xdr:cNvPr id="69" name="AutoShape 23"/>
        <xdr:cNvSpPr>
          <a:spLocks noChangeArrowheads="1"/>
        </xdr:cNvSpPr>
      </xdr:nvSpPr>
      <xdr:spPr bwMode="auto">
        <a:xfrm>
          <a:off x="1295400" y="11677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418</xdr:row>
      <xdr:rowOff>66675</xdr:rowOff>
    </xdr:from>
    <xdr:to>
      <xdr:col>2</xdr:col>
      <xdr:colOff>323850</xdr:colOff>
      <xdr:row>418</xdr:row>
      <xdr:rowOff>142875</xdr:rowOff>
    </xdr:to>
    <xdr:sp macro="" textlink="">
      <xdr:nvSpPr>
        <xdr:cNvPr id="70" name="AutoShape 24"/>
        <xdr:cNvSpPr>
          <a:spLocks noChangeArrowheads="1"/>
        </xdr:cNvSpPr>
      </xdr:nvSpPr>
      <xdr:spPr bwMode="auto">
        <a:xfrm>
          <a:off x="12763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418</xdr:row>
      <xdr:rowOff>95250</xdr:rowOff>
    </xdr:from>
    <xdr:to>
      <xdr:col>12</xdr:col>
      <xdr:colOff>476250</xdr:colOff>
      <xdr:row>418</xdr:row>
      <xdr:rowOff>171450</xdr:rowOff>
    </xdr:to>
    <xdr:sp macro="" textlink="">
      <xdr:nvSpPr>
        <xdr:cNvPr id="71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414</xdr:row>
      <xdr:rowOff>47625</xdr:rowOff>
    </xdr:from>
    <xdr:to>
      <xdr:col>2</xdr:col>
      <xdr:colOff>361950</xdr:colOff>
      <xdr:row>414</xdr:row>
      <xdr:rowOff>152400</xdr:rowOff>
    </xdr:to>
    <xdr:sp macro="" textlink="">
      <xdr:nvSpPr>
        <xdr:cNvPr id="72" name="AutoShape 23"/>
        <xdr:cNvSpPr>
          <a:spLocks noChangeArrowheads="1"/>
        </xdr:cNvSpPr>
      </xdr:nvSpPr>
      <xdr:spPr bwMode="auto">
        <a:xfrm>
          <a:off x="1276350" y="11677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427</xdr:row>
      <xdr:rowOff>66675</xdr:rowOff>
    </xdr:from>
    <xdr:to>
      <xdr:col>12</xdr:col>
      <xdr:colOff>647700</xdr:colOff>
      <xdr:row>427</xdr:row>
      <xdr:rowOff>142875</xdr:rowOff>
    </xdr:to>
    <xdr:sp macro="" textlink="">
      <xdr:nvSpPr>
        <xdr:cNvPr id="73" name="AutoShape 25"/>
        <xdr:cNvSpPr>
          <a:spLocks noChangeArrowheads="1"/>
        </xdr:cNvSpPr>
      </xdr:nvSpPr>
      <xdr:spPr bwMode="auto">
        <a:xfrm>
          <a:off x="848677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8</xdr:row>
      <xdr:rowOff>76200</xdr:rowOff>
    </xdr:from>
    <xdr:to>
      <xdr:col>12</xdr:col>
      <xdr:colOff>476250</xdr:colOff>
      <xdr:row>8</xdr:row>
      <xdr:rowOff>152400</xdr:rowOff>
    </xdr:to>
    <xdr:sp macro="" textlink="">
      <xdr:nvSpPr>
        <xdr:cNvPr id="75" name="AutoShape 25"/>
        <xdr:cNvSpPr>
          <a:spLocks noChangeArrowheads="1"/>
        </xdr:cNvSpPr>
      </xdr:nvSpPr>
      <xdr:spPr bwMode="auto">
        <a:xfrm>
          <a:off x="8315325" y="17430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10</xdr:row>
      <xdr:rowOff>76200</xdr:rowOff>
    </xdr:from>
    <xdr:to>
      <xdr:col>12</xdr:col>
      <xdr:colOff>476250</xdr:colOff>
      <xdr:row>10</xdr:row>
      <xdr:rowOff>152400</xdr:rowOff>
    </xdr:to>
    <xdr:sp macro="" textlink="">
      <xdr:nvSpPr>
        <xdr:cNvPr id="76" name="AutoShape 25"/>
        <xdr:cNvSpPr>
          <a:spLocks noChangeArrowheads="1"/>
        </xdr:cNvSpPr>
      </xdr:nvSpPr>
      <xdr:spPr bwMode="auto">
        <a:xfrm>
          <a:off x="8315325" y="21526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7</xdr:row>
      <xdr:rowOff>76200</xdr:rowOff>
    </xdr:from>
    <xdr:to>
      <xdr:col>12</xdr:col>
      <xdr:colOff>523875</xdr:colOff>
      <xdr:row>7</xdr:row>
      <xdr:rowOff>152400</xdr:rowOff>
    </xdr:to>
    <xdr:sp macro="" textlink="">
      <xdr:nvSpPr>
        <xdr:cNvPr id="77" name="AutoShape 25"/>
        <xdr:cNvSpPr>
          <a:spLocks noChangeArrowheads="1"/>
        </xdr:cNvSpPr>
      </xdr:nvSpPr>
      <xdr:spPr bwMode="auto">
        <a:xfrm>
          <a:off x="8362950" y="1543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67</xdr:row>
      <xdr:rowOff>76200</xdr:rowOff>
    </xdr:from>
    <xdr:to>
      <xdr:col>12</xdr:col>
      <xdr:colOff>476250</xdr:colOff>
      <xdr:row>67</xdr:row>
      <xdr:rowOff>152400</xdr:rowOff>
    </xdr:to>
    <xdr:sp macro="" textlink="">
      <xdr:nvSpPr>
        <xdr:cNvPr id="79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69</xdr:row>
      <xdr:rowOff>76200</xdr:rowOff>
    </xdr:from>
    <xdr:to>
      <xdr:col>12</xdr:col>
      <xdr:colOff>476250</xdr:colOff>
      <xdr:row>69</xdr:row>
      <xdr:rowOff>152400</xdr:rowOff>
    </xdr:to>
    <xdr:sp macro="" textlink="">
      <xdr:nvSpPr>
        <xdr:cNvPr id="80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66</xdr:row>
      <xdr:rowOff>76200</xdr:rowOff>
    </xdr:from>
    <xdr:to>
      <xdr:col>12</xdr:col>
      <xdr:colOff>523875</xdr:colOff>
      <xdr:row>66</xdr:row>
      <xdr:rowOff>152400</xdr:rowOff>
    </xdr:to>
    <xdr:sp macro="" textlink="">
      <xdr:nvSpPr>
        <xdr:cNvPr id="81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95250</xdr:rowOff>
    </xdr:from>
    <xdr:to>
      <xdr:col>12</xdr:col>
      <xdr:colOff>476250</xdr:colOff>
      <xdr:row>68</xdr:row>
      <xdr:rowOff>171450</xdr:rowOff>
    </xdr:to>
    <xdr:sp macro="" textlink="">
      <xdr:nvSpPr>
        <xdr:cNvPr id="85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67</xdr:row>
      <xdr:rowOff>76200</xdr:rowOff>
    </xdr:from>
    <xdr:to>
      <xdr:col>12</xdr:col>
      <xdr:colOff>476250</xdr:colOff>
      <xdr:row>67</xdr:row>
      <xdr:rowOff>152400</xdr:rowOff>
    </xdr:to>
    <xdr:sp macro="" textlink="">
      <xdr:nvSpPr>
        <xdr:cNvPr id="86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69</xdr:row>
      <xdr:rowOff>76200</xdr:rowOff>
    </xdr:from>
    <xdr:to>
      <xdr:col>12</xdr:col>
      <xdr:colOff>476250</xdr:colOff>
      <xdr:row>69</xdr:row>
      <xdr:rowOff>152400</xdr:rowOff>
    </xdr:to>
    <xdr:sp macro="" textlink="">
      <xdr:nvSpPr>
        <xdr:cNvPr id="87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66</xdr:row>
      <xdr:rowOff>76200</xdr:rowOff>
    </xdr:from>
    <xdr:to>
      <xdr:col>12</xdr:col>
      <xdr:colOff>523875</xdr:colOff>
      <xdr:row>66</xdr:row>
      <xdr:rowOff>152400</xdr:rowOff>
    </xdr:to>
    <xdr:sp macro="" textlink="">
      <xdr:nvSpPr>
        <xdr:cNvPr id="88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126</xdr:row>
      <xdr:rowOff>76200</xdr:rowOff>
    </xdr:from>
    <xdr:to>
      <xdr:col>12</xdr:col>
      <xdr:colOff>476250</xdr:colOff>
      <xdr:row>126</xdr:row>
      <xdr:rowOff>152400</xdr:rowOff>
    </xdr:to>
    <xdr:sp macro="" textlink="">
      <xdr:nvSpPr>
        <xdr:cNvPr id="90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128</xdr:row>
      <xdr:rowOff>76200</xdr:rowOff>
    </xdr:from>
    <xdr:to>
      <xdr:col>12</xdr:col>
      <xdr:colOff>476250</xdr:colOff>
      <xdr:row>128</xdr:row>
      <xdr:rowOff>152400</xdr:rowOff>
    </xdr:to>
    <xdr:sp macro="" textlink="">
      <xdr:nvSpPr>
        <xdr:cNvPr id="91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125</xdr:row>
      <xdr:rowOff>76200</xdr:rowOff>
    </xdr:from>
    <xdr:to>
      <xdr:col>12</xdr:col>
      <xdr:colOff>523875</xdr:colOff>
      <xdr:row>125</xdr:row>
      <xdr:rowOff>152400</xdr:rowOff>
    </xdr:to>
    <xdr:sp macro="" textlink="">
      <xdr:nvSpPr>
        <xdr:cNvPr id="92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127</xdr:row>
      <xdr:rowOff>114300</xdr:rowOff>
    </xdr:from>
    <xdr:to>
      <xdr:col>12</xdr:col>
      <xdr:colOff>476250</xdr:colOff>
      <xdr:row>127</xdr:row>
      <xdr:rowOff>190500</xdr:rowOff>
    </xdr:to>
    <xdr:sp macro="" textlink="">
      <xdr:nvSpPr>
        <xdr:cNvPr id="93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125</xdr:row>
      <xdr:rowOff>76200</xdr:rowOff>
    </xdr:from>
    <xdr:to>
      <xdr:col>12</xdr:col>
      <xdr:colOff>523875</xdr:colOff>
      <xdr:row>125</xdr:row>
      <xdr:rowOff>152400</xdr:rowOff>
    </xdr:to>
    <xdr:sp macro="" textlink="">
      <xdr:nvSpPr>
        <xdr:cNvPr id="96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185</xdr:row>
      <xdr:rowOff>76200</xdr:rowOff>
    </xdr:from>
    <xdr:to>
      <xdr:col>12</xdr:col>
      <xdr:colOff>476250</xdr:colOff>
      <xdr:row>185</xdr:row>
      <xdr:rowOff>152400</xdr:rowOff>
    </xdr:to>
    <xdr:sp macro="" textlink="">
      <xdr:nvSpPr>
        <xdr:cNvPr id="97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187</xdr:row>
      <xdr:rowOff>76200</xdr:rowOff>
    </xdr:from>
    <xdr:to>
      <xdr:col>12</xdr:col>
      <xdr:colOff>476250</xdr:colOff>
      <xdr:row>187</xdr:row>
      <xdr:rowOff>152400</xdr:rowOff>
    </xdr:to>
    <xdr:sp macro="" textlink="">
      <xdr:nvSpPr>
        <xdr:cNvPr id="98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184</xdr:row>
      <xdr:rowOff>76200</xdr:rowOff>
    </xdr:from>
    <xdr:to>
      <xdr:col>12</xdr:col>
      <xdr:colOff>523875</xdr:colOff>
      <xdr:row>184</xdr:row>
      <xdr:rowOff>152400</xdr:rowOff>
    </xdr:to>
    <xdr:sp macro="" textlink="">
      <xdr:nvSpPr>
        <xdr:cNvPr id="99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184</xdr:row>
      <xdr:rowOff>76200</xdr:rowOff>
    </xdr:from>
    <xdr:to>
      <xdr:col>12</xdr:col>
      <xdr:colOff>523875</xdr:colOff>
      <xdr:row>184</xdr:row>
      <xdr:rowOff>152400</xdr:rowOff>
    </xdr:to>
    <xdr:sp macro="" textlink="">
      <xdr:nvSpPr>
        <xdr:cNvPr id="101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243</xdr:row>
      <xdr:rowOff>76200</xdr:rowOff>
    </xdr:from>
    <xdr:to>
      <xdr:col>12</xdr:col>
      <xdr:colOff>476250</xdr:colOff>
      <xdr:row>243</xdr:row>
      <xdr:rowOff>152400</xdr:rowOff>
    </xdr:to>
    <xdr:sp macro="" textlink="">
      <xdr:nvSpPr>
        <xdr:cNvPr id="120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245</xdr:row>
      <xdr:rowOff>76200</xdr:rowOff>
    </xdr:from>
    <xdr:to>
      <xdr:col>12</xdr:col>
      <xdr:colOff>476250</xdr:colOff>
      <xdr:row>245</xdr:row>
      <xdr:rowOff>152400</xdr:rowOff>
    </xdr:to>
    <xdr:sp macro="" textlink="">
      <xdr:nvSpPr>
        <xdr:cNvPr id="121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242</xdr:row>
      <xdr:rowOff>76200</xdr:rowOff>
    </xdr:from>
    <xdr:to>
      <xdr:col>12</xdr:col>
      <xdr:colOff>523875</xdr:colOff>
      <xdr:row>242</xdr:row>
      <xdr:rowOff>152400</xdr:rowOff>
    </xdr:to>
    <xdr:sp macro="" textlink="">
      <xdr:nvSpPr>
        <xdr:cNvPr id="122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242</xdr:row>
      <xdr:rowOff>76200</xdr:rowOff>
    </xdr:from>
    <xdr:to>
      <xdr:col>12</xdr:col>
      <xdr:colOff>523875</xdr:colOff>
      <xdr:row>242</xdr:row>
      <xdr:rowOff>152400</xdr:rowOff>
    </xdr:to>
    <xdr:sp macro="" textlink="">
      <xdr:nvSpPr>
        <xdr:cNvPr id="123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301</xdr:row>
      <xdr:rowOff>85725</xdr:rowOff>
    </xdr:from>
    <xdr:to>
      <xdr:col>12</xdr:col>
      <xdr:colOff>476250</xdr:colOff>
      <xdr:row>301</xdr:row>
      <xdr:rowOff>161925</xdr:rowOff>
    </xdr:to>
    <xdr:sp macro="" textlink="">
      <xdr:nvSpPr>
        <xdr:cNvPr id="125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303</xdr:row>
      <xdr:rowOff>76200</xdr:rowOff>
    </xdr:from>
    <xdr:to>
      <xdr:col>12</xdr:col>
      <xdr:colOff>476250</xdr:colOff>
      <xdr:row>303</xdr:row>
      <xdr:rowOff>152400</xdr:rowOff>
    </xdr:to>
    <xdr:sp macro="" textlink="">
      <xdr:nvSpPr>
        <xdr:cNvPr id="126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300</xdr:row>
      <xdr:rowOff>76200</xdr:rowOff>
    </xdr:from>
    <xdr:to>
      <xdr:col>12</xdr:col>
      <xdr:colOff>523875</xdr:colOff>
      <xdr:row>300</xdr:row>
      <xdr:rowOff>152400</xdr:rowOff>
    </xdr:to>
    <xdr:sp macro="" textlink="">
      <xdr:nvSpPr>
        <xdr:cNvPr id="127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300</xdr:row>
      <xdr:rowOff>76200</xdr:rowOff>
    </xdr:from>
    <xdr:to>
      <xdr:col>12</xdr:col>
      <xdr:colOff>523875</xdr:colOff>
      <xdr:row>300</xdr:row>
      <xdr:rowOff>152400</xdr:rowOff>
    </xdr:to>
    <xdr:sp macro="" textlink="">
      <xdr:nvSpPr>
        <xdr:cNvPr id="128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359</xdr:row>
      <xdr:rowOff>85725</xdr:rowOff>
    </xdr:from>
    <xdr:to>
      <xdr:col>12</xdr:col>
      <xdr:colOff>476250</xdr:colOff>
      <xdr:row>359</xdr:row>
      <xdr:rowOff>161925</xdr:rowOff>
    </xdr:to>
    <xdr:sp macro="" textlink="">
      <xdr:nvSpPr>
        <xdr:cNvPr id="130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361</xdr:row>
      <xdr:rowOff>76200</xdr:rowOff>
    </xdr:from>
    <xdr:to>
      <xdr:col>12</xdr:col>
      <xdr:colOff>476250</xdr:colOff>
      <xdr:row>361</xdr:row>
      <xdr:rowOff>152400</xdr:rowOff>
    </xdr:to>
    <xdr:sp macro="" textlink="">
      <xdr:nvSpPr>
        <xdr:cNvPr id="131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358</xdr:row>
      <xdr:rowOff>76200</xdr:rowOff>
    </xdr:from>
    <xdr:to>
      <xdr:col>12</xdr:col>
      <xdr:colOff>523875</xdr:colOff>
      <xdr:row>358</xdr:row>
      <xdr:rowOff>152400</xdr:rowOff>
    </xdr:to>
    <xdr:sp macro="" textlink="">
      <xdr:nvSpPr>
        <xdr:cNvPr id="132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358</xdr:row>
      <xdr:rowOff>76200</xdr:rowOff>
    </xdr:from>
    <xdr:to>
      <xdr:col>12</xdr:col>
      <xdr:colOff>523875</xdr:colOff>
      <xdr:row>358</xdr:row>
      <xdr:rowOff>152400</xdr:rowOff>
    </xdr:to>
    <xdr:sp macro="" textlink="">
      <xdr:nvSpPr>
        <xdr:cNvPr id="133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417</xdr:row>
      <xdr:rowOff>85725</xdr:rowOff>
    </xdr:from>
    <xdr:to>
      <xdr:col>12</xdr:col>
      <xdr:colOff>476250</xdr:colOff>
      <xdr:row>417</xdr:row>
      <xdr:rowOff>161925</xdr:rowOff>
    </xdr:to>
    <xdr:sp macro="" textlink="">
      <xdr:nvSpPr>
        <xdr:cNvPr id="135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419</xdr:row>
      <xdr:rowOff>76200</xdr:rowOff>
    </xdr:from>
    <xdr:to>
      <xdr:col>12</xdr:col>
      <xdr:colOff>476250</xdr:colOff>
      <xdr:row>419</xdr:row>
      <xdr:rowOff>152400</xdr:rowOff>
    </xdr:to>
    <xdr:sp macro="" textlink="">
      <xdr:nvSpPr>
        <xdr:cNvPr id="136" name="AutoShape 25"/>
        <xdr:cNvSpPr>
          <a:spLocks noChangeArrowheads="1"/>
        </xdr:cNvSpPr>
      </xdr:nvSpPr>
      <xdr:spPr bwMode="auto">
        <a:xfrm>
          <a:off x="83153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416</xdr:row>
      <xdr:rowOff>76200</xdr:rowOff>
    </xdr:from>
    <xdr:to>
      <xdr:col>12</xdr:col>
      <xdr:colOff>523875</xdr:colOff>
      <xdr:row>416</xdr:row>
      <xdr:rowOff>152400</xdr:rowOff>
    </xdr:to>
    <xdr:sp macro="" textlink="">
      <xdr:nvSpPr>
        <xdr:cNvPr id="137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416</xdr:row>
      <xdr:rowOff>76200</xdr:rowOff>
    </xdr:from>
    <xdr:to>
      <xdr:col>12</xdr:col>
      <xdr:colOff>523875</xdr:colOff>
      <xdr:row>416</xdr:row>
      <xdr:rowOff>152400</xdr:rowOff>
    </xdr:to>
    <xdr:sp macro="" textlink="">
      <xdr:nvSpPr>
        <xdr:cNvPr id="138" name="AutoShape 25"/>
        <xdr:cNvSpPr>
          <a:spLocks noChangeArrowheads="1"/>
        </xdr:cNvSpPr>
      </xdr:nvSpPr>
      <xdr:spPr bwMode="auto">
        <a:xfrm>
          <a:off x="8362950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17</xdr:row>
      <xdr:rowOff>76200</xdr:rowOff>
    </xdr:from>
    <xdr:to>
      <xdr:col>12</xdr:col>
      <xdr:colOff>628650</xdr:colOff>
      <xdr:row>17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8467725" y="3829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76</xdr:row>
      <xdr:rowOff>76200</xdr:rowOff>
    </xdr:from>
    <xdr:to>
      <xdr:col>12</xdr:col>
      <xdr:colOff>628650</xdr:colOff>
      <xdr:row>76</xdr:row>
      <xdr:rowOff>152400</xdr:rowOff>
    </xdr:to>
    <xdr:sp macro="" textlink="">
      <xdr:nvSpPr>
        <xdr:cNvPr id="109" name="AutoShape 25"/>
        <xdr:cNvSpPr>
          <a:spLocks noChangeArrowheads="1"/>
        </xdr:cNvSpPr>
      </xdr:nvSpPr>
      <xdr:spPr bwMode="auto">
        <a:xfrm>
          <a:off x="84677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135</xdr:row>
      <xdr:rowOff>76200</xdr:rowOff>
    </xdr:from>
    <xdr:to>
      <xdr:col>12</xdr:col>
      <xdr:colOff>628650</xdr:colOff>
      <xdr:row>135</xdr:row>
      <xdr:rowOff>152400</xdr:rowOff>
    </xdr:to>
    <xdr:sp macro="" textlink="">
      <xdr:nvSpPr>
        <xdr:cNvPr id="110" name="AutoShape 25"/>
        <xdr:cNvSpPr>
          <a:spLocks noChangeArrowheads="1"/>
        </xdr:cNvSpPr>
      </xdr:nvSpPr>
      <xdr:spPr bwMode="auto">
        <a:xfrm>
          <a:off x="84677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194</xdr:row>
      <xdr:rowOff>76200</xdr:rowOff>
    </xdr:from>
    <xdr:to>
      <xdr:col>12</xdr:col>
      <xdr:colOff>628650</xdr:colOff>
      <xdr:row>194</xdr:row>
      <xdr:rowOff>152400</xdr:rowOff>
    </xdr:to>
    <xdr:sp macro="" textlink="">
      <xdr:nvSpPr>
        <xdr:cNvPr id="111" name="AutoShape 25"/>
        <xdr:cNvSpPr>
          <a:spLocks noChangeArrowheads="1"/>
        </xdr:cNvSpPr>
      </xdr:nvSpPr>
      <xdr:spPr bwMode="auto">
        <a:xfrm>
          <a:off x="84677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252</xdr:row>
      <xdr:rowOff>76200</xdr:rowOff>
    </xdr:from>
    <xdr:to>
      <xdr:col>12</xdr:col>
      <xdr:colOff>628650</xdr:colOff>
      <xdr:row>252</xdr:row>
      <xdr:rowOff>152400</xdr:rowOff>
    </xdr:to>
    <xdr:sp macro="" textlink="">
      <xdr:nvSpPr>
        <xdr:cNvPr id="112" name="AutoShape 25"/>
        <xdr:cNvSpPr>
          <a:spLocks noChangeArrowheads="1"/>
        </xdr:cNvSpPr>
      </xdr:nvSpPr>
      <xdr:spPr bwMode="auto">
        <a:xfrm>
          <a:off x="84677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310</xdr:row>
      <xdr:rowOff>76200</xdr:rowOff>
    </xdr:from>
    <xdr:to>
      <xdr:col>12</xdr:col>
      <xdr:colOff>628650</xdr:colOff>
      <xdr:row>310</xdr:row>
      <xdr:rowOff>152400</xdr:rowOff>
    </xdr:to>
    <xdr:sp macro="" textlink="">
      <xdr:nvSpPr>
        <xdr:cNvPr id="113" name="AutoShape 25"/>
        <xdr:cNvSpPr>
          <a:spLocks noChangeArrowheads="1"/>
        </xdr:cNvSpPr>
      </xdr:nvSpPr>
      <xdr:spPr bwMode="auto">
        <a:xfrm>
          <a:off x="84677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368</xdr:row>
      <xdr:rowOff>76200</xdr:rowOff>
    </xdr:from>
    <xdr:to>
      <xdr:col>12</xdr:col>
      <xdr:colOff>628650</xdr:colOff>
      <xdr:row>368</xdr:row>
      <xdr:rowOff>152400</xdr:rowOff>
    </xdr:to>
    <xdr:sp macro="" textlink="">
      <xdr:nvSpPr>
        <xdr:cNvPr id="114" name="AutoShape 25"/>
        <xdr:cNvSpPr>
          <a:spLocks noChangeArrowheads="1"/>
        </xdr:cNvSpPr>
      </xdr:nvSpPr>
      <xdr:spPr bwMode="auto">
        <a:xfrm>
          <a:off x="84677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426</xdr:row>
      <xdr:rowOff>76200</xdr:rowOff>
    </xdr:from>
    <xdr:to>
      <xdr:col>12</xdr:col>
      <xdr:colOff>628650</xdr:colOff>
      <xdr:row>426</xdr:row>
      <xdr:rowOff>152400</xdr:rowOff>
    </xdr:to>
    <xdr:sp macro="" textlink="">
      <xdr:nvSpPr>
        <xdr:cNvPr id="115" name="AutoShape 25"/>
        <xdr:cNvSpPr>
          <a:spLocks noChangeArrowheads="1"/>
        </xdr:cNvSpPr>
      </xdr:nvSpPr>
      <xdr:spPr bwMode="auto">
        <a:xfrm>
          <a:off x="8467725" y="11677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620000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17</xdr:row>
      <xdr:rowOff>66675</xdr:rowOff>
    </xdr:from>
    <xdr:to>
      <xdr:col>12</xdr:col>
      <xdr:colOff>561975</xdr:colOff>
      <xdr:row>17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705725" y="38195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400050</xdr:colOff>
      <xdr:row>11</xdr:row>
      <xdr:rowOff>76200</xdr:rowOff>
    </xdr:from>
    <xdr:to>
      <xdr:col>12</xdr:col>
      <xdr:colOff>647700</xdr:colOff>
      <xdr:row>11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7791450" y="23526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11</xdr:row>
      <xdr:rowOff>57150</xdr:rowOff>
    </xdr:from>
    <xdr:to>
      <xdr:col>2</xdr:col>
      <xdr:colOff>333375</xdr:colOff>
      <xdr:row>11</xdr:row>
      <xdr:rowOff>133350</xdr:rowOff>
    </xdr:to>
    <xdr:sp macro="" textlink="">
      <xdr:nvSpPr>
        <xdr:cNvPr id="109" name="AutoShape 21"/>
        <xdr:cNvSpPr>
          <a:spLocks noChangeArrowheads="1"/>
        </xdr:cNvSpPr>
      </xdr:nvSpPr>
      <xdr:spPr bwMode="auto">
        <a:xfrm>
          <a:off x="1285875" y="23336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71</xdr:row>
      <xdr:rowOff>47625</xdr:rowOff>
    </xdr:from>
    <xdr:to>
      <xdr:col>2</xdr:col>
      <xdr:colOff>333375</xdr:colOff>
      <xdr:row>71</xdr:row>
      <xdr:rowOff>123825</xdr:rowOff>
    </xdr:to>
    <xdr:sp macro="" textlink="">
      <xdr:nvSpPr>
        <xdr:cNvPr id="140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72</xdr:row>
      <xdr:rowOff>47625</xdr:rowOff>
    </xdr:from>
    <xdr:to>
      <xdr:col>2</xdr:col>
      <xdr:colOff>333375</xdr:colOff>
      <xdr:row>72</xdr:row>
      <xdr:rowOff>123825</xdr:rowOff>
    </xdr:to>
    <xdr:sp macro="" textlink="">
      <xdr:nvSpPr>
        <xdr:cNvPr id="141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66</xdr:row>
      <xdr:rowOff>28575</xdr:rowOff>
    </xdr:from>
    <xdr:to>
      <xdr:col>2</xdr:col>
      <xdr:colOff>323850</xdr:colOff>
      <xdr:row>66</xdr:row>
      <xdr:rowOff>142875</xdr:rowOff>
    </xdr:to>
    <xdr:sp macro="" textlink="">
      <xdr:nvSpPr>
        <xdr:cNvPr id="142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68</xdr:row>
      <xdr:rowOff>66675</xdr:rowOff>
    </xdr:from>
    <xdr:to>
      <xdr:col>2</xdr:col>
      <xdr:colOff>323850</xdr:colOff>
      <xdr:row>68</xdr:row>
      <xdr:rowOff>142875</xdr:rowOff>
    </xdr:to>
    <xdr:sp macro="" textlink="">
      <xdr:nvSpPr>
        <xdr:cNvPr id="143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95250</xdr:rowOff>
    </xdr:from>
    <xdr:to>
      <xdr:col>12</xdr:col>
      <xdr:colOff>476250</xdr:colOff>
      <xdr:row>68</xdr:row>
      <xdr:rowOff>171450</xdr:rowOff>
    </xdr:to>
    <xdr:sp macro="" textlink="">
      <xdr:nvSpPr>
        <xdr:cNvPr id="144" name="AutoShape 25"/>
        <xdr:cNvSpPr>
          <a:spLocks noChangeArrowheads="1"/>
        </xdr:cNvSpPr>
      </xdr:nvSpPr>
      <xdr:spPr bwMode="auto">
        <a:xfrm>
          <a:off x="762000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64</xdr:row>
      <xdr:rowOff>47625</xdr:rowOff>
    </xdr:from>
    <xdr:to>
      <xdr:col>2</xdr:col>
      <xdr:colOff>361950</xdr:colOff>
      <xdr:row>64</xdr:row>
      <xdr:rowOff>152400</xdr:rowOff>
    </xdr:to>
    <xdr:sp macro="" textlink="">
      <xdr:nvSpPr>
        <xdr:cNvPr id="145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77</xdr:row>
      <xdr:rowOff>66675</xdr:rowOff>
    </xdr:from>
    <xdr:to>
      <xdr:col>12</xdr:col>
      <xdr:colOff>495300</xdr:colOff>
      <xdr:row>77</xdr:row>
      <xdr:rowOff>142875</xdr:rowOff>
    </xdr:to>
    <xdr:sp macro="" textlink="">
      <xdr:nvSpPr>
        <xdr:cNvPr id="146" name="AutoShape 25"/>
        <xdr:cNvSpPr>
          <a:spLocks noChangeArrowheads="1"/>
        </xdr:cNvSpPr>
      </xdr:nvSpPr>
      <xdr:spPr bwMode="auto">
        <a:xfrm>
          <a:off x="76390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70</xdr:row>
      <xdr:rowOff>76200</xdr:rowOff>
    </xdr:from>
    <xdr:to>
      <xdr:col>12</xdr:col>
      <xdr:colOff>647700</xdr:colOff>
      <xdr:row>70</xdr:row>
      <xdr:rowOff>152400</xdr:rowOff>
    </xdr:to>
    <xdr:sp macro="" textlink="">
      <xdr:nvSpPr>
        <xdr:cNvPr id="148" name="AutoShape 25"/>
        <xdr:cNvSpPr>
          <a:spLocks noChangeArrowheads="1"/>
        </xdr:cNvSpPr>
      </xdr:nvSpPr>
      <xdr:spPr bwMode="auto">
        <a:xfrm>
          <a:off x="77914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70</xdr:row>
      <xdr:rowOff>57150</xdr:rowOff>
    </xdr:from>
    <xdr:to>
      <xdr:col>2</xdr:col>
      <xdr:colOff>333375</xdr:colOff>
      <xdr:row>70</xdr:row>
      <xdr:rowOff>133350</xdr:rowOff>
    </xdr:to>
    <xdr:sp macro="" textlink="">
      <xdr:nvSpPr>
        <xdr:cNvPr id="149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18</xdr:row>
      <xdr:rowOff>85725</xdr:rowOff>
    </xdr:from>
    <xdr:to>
      <xdr:col>12</xdr:col>
      <xdr:colOff>561975</xdr:colOff>
      <xdr:row>18</xdr:row>
      <xdr:rowOff>161925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7705725" y="403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76</xdr:row>
      <xdr:rowOff>66675</xdr:rowOff>
    </xdr:from>
    <xdr:to>
      <xdr:col>12</xdr:col>
      <xdr:colOff>495300</xdr:colOff>
      <xdr:row>76</xdr:row>
      <xdr:rowOff>142875</xdr:rowOff>
    </xdr:to>
    <xdr:sp macro="" textlink="">
      <xdr:nvSpPr>
        <xdr:cNvPr id="34" name="AutoShape 25"/>
        <xdr:cNvSpPr>
          <a:spLocks noChangeArrowheads="1"/>
        </xdr:cNvSpPr>
      </xdr:nvSpPr>
      <xdr:spPr bwMode="auto">
        <a:xfrm>
          <a:off x="76390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143000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143000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143000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152525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133475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353300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133475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</xdr:row>
      <xdr:rowOff>66675</xdr:rowOff>
    </xdr:from>
    <xdr:to>
      <xdr:col>12</xdr:col>
      <xdr:colOff>647700</xdr:colOff>
      <xdr:row>19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524750" y="4210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3</xdr:col>
      <xdr:colOff>314325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66675</xdr:rowOff>
    </xdr:from>
    <xdr:to>
      <xdr:col>2</xdr:col>
      <xdr:colOff>314325</xdr:colOff>
      <xdr:row>11</xdr:row>
      <xdr:rowOff>142875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66825" y="2343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1338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247650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 topLeftCell="A7">
      <selection activeCell="O18" sqref="O18"/>
    </sheetView>
  </sheetViews>
  <sheetFormatPr defaultColWidth="11.421875" defaultRowHeight="15"/>
  <cols>
    <col min="3" max="3" width="11.421875" style="0" hidden="1" customWidth="1"/>
    <col min="4" max="4" width="15.28125" style="0" customWidth="1"/>
    <col min="5" max="5" width="20.00390625" style="0" customWidth="1"/>
    <col min="9" max="9" width="13.8515625" style="0" hidden="1" customWidth="1"/>
    <col min="10" max="10" width="17.421875" style="0" customWidth="1"/>
    <col min="11" max="11" width="14.28125" style="0" customWidth="1"/>
  </cols>
  <sheetData>
    <row r="1" ht="15.75" thickBot="1"/>
    <row r="2" spans="1:11" ht="15.75" thickBot="1">
      <c r="A2" s="232" t="s">
        <v>192</v>
      </c>
      <c r="B2" s="233"/>
      <c r="C2" s="233"/>
      <c r="D2" s="233"/>
      <c r="E2" s="234"/>
      <c r="G2" s="232" t="s">
        <v>193</v>
      </c>
      <c r="H2" s="233"/>
      <c r="I2" s="233"/>
      <c r="J2" s="233"/>
      <c r="K2" s="234"/>
    </row>
    <row r="3" spans="1:11" ht="15" customHeight="1" thickBot="1">
      <c r="A3" s="111" t="s">
        <v>10</v>
      </c>
      <c r="B3" s="110" t="s">
        <v>5</v>
      </c>
      <c r="C3" s="110" t="s">
        <v>4</v>
      </c>
      <c r="D3" s="110" t="s">
        <v>101</v>
      </c>
      <c r="E3" s="112" t="s">
        <v>100</v>
      </c>
      <c r="G3" s="111" t="s">
        <v>10</v>
      </c>
      <c r="H3" s="110" t="s">
        <v>5</v>
      </c>
      <c r="I3" s="110" t="s">
        <v>4</v>
      </c>
      <c r="J3" s="110" t="s">
        <v>181</v>
      </c>
      <c r="K3" s="112" t="s">
        <v>180</v>
      </c>
    </row>
    <row r="4" spans="1:11" ht="15">
      <c r="A4" s="229" t="s">
        <v>6</v>
      </c>
      <c r="B4" s="96">
        <v>4</v>
      </c>
      <c r="C4" s="96">
        <v>4</v>
      </c>
      <c r="D4" s="97">
        <v>312</v>
      </c>
      <c r="E4" s="98">
        <v>185</v>
      </c>
      <c r="G4" s="229" t="s">
        <v>6</v>
      </c>
      <c r="H4" s="96">
        <v>4</v>
      </c>
      <c r="I4" s="96">
        <v>4</v>
      </c>
      <c r="J4" s="97">
        <v>1059</v>
      </c>
      <c r="K4" s="98">
        <v>176</v>
      </c>
    </row>
    <row r="5" spans="1:11" ht="15">
      <c r="A5" s="230"/>
      <c r="B5" s="99">
        <v>2</v>
      </c>
      <c r="C5" s="99">
        <v>4</v>
      </c>
      <c r="D5" s="100">
        <v>469</v>
      </c>
      <c r="E5" s="101">
        <v>279</v>
      </c>
      <c r="G5" s="230"/>
      <c r="H5" s="99">
        <v>2</v>
      </c>
      <c r="I5" s="99">
        <v>4</v>
      </c>
      <c r="J5" s="100">
        <v>1580</v>
      </c>
      <c r="K5" s="101">
        <v>203</v>
      </c>
    </row>
    <row r="6" spans="1:11" ht="15">
      <c r="A6" s="230"/>
      <c r="B6" s="99" t="s">
        <v>0</v>
      </c>
      <c r="C6" s="99">
        <v>4</v>
      </c>
      <c r="D6" s="100">
        <v>692</v>
      </c>
      <c r="E6" s="101">
        <v>412</v>
      </c>
      <c r="G6" s="230"/>
      <c r="H6" s="99" t="s">
        <v>0</v>
      </c>
      <c r="I6" s="99">
        <v>4</v>
      </c>
      <c r="J6" s="100">
        <v>2292</v>
      </c>
      <c r="K6" s="101">
        <v>382</v>
      </c>
    </row>
    <row r="7" spans="1:11" ht="15">
      <c r="A7" s="230"/>
      <c r="B7" s="99" t="s">
        <v>1</v>
      </c>
      <c r="C7" s="99">
        <v>2</v>
      </c>
      <c r="D7" s="100">
        <v>831</v>
      </c>
      <c r="E7" s="101">
        <v>495</v>
      </c>
      <c r="G7" s="230"/>
      <c r="H7" s="99" t="s">
        <v>1</v>
      </c>
      <c r="I7" s="99">
        <v>2</v>
      </c>
      <c r="J7" s="100">
        <v>2724</v>
      </c>
      <c r="K7" s="101">
        <v>454</v>
      </c>
    </row>
    <row r="8" spans="1:11" ht="15">
      <c r="A8" s="230"/>
      <c r="B8" s="99" t="s">
        <v>2</v>
      </c>
      <c r="C8" s="99">
        <v>2</v>
      </c>
      <c r="D8" s="100">
        <v>982</v>
      </c>
      <c r="E8" s="101">
        <v>584</v>
      </c>
      <c r="G8" s="230"/>
      <c r="H8" s="99" t="s">
        <v>2</v>
      </c>
      <c r="I8" s="99">
        <v>2</v>
      </c>
      <c r="J8" s="100">
        <v>3207</v>
      </c>
      <c r="K8" s="101">
        <v>534</v>
      </c>
    </row>
    <row r="9" spans="1:11" ht="15.75" thickBot="1">
      <c r="A9" s="231"/>
      <c r="B9" s="102" t="s">
        <v>3</v>
      </c>
      <c r="C9" s="102" t="s">
        <v>0</v>
      </c>
      <c r="D9" s="103">
        <v>1159</v>
      </c>
      <c r="E9" s="104">
        <v>690</v>
      </c>
      <c r="G9" s="231"/>
      <c r="H9" s="102" t="s">
        <v>3</v>
      </c>
      <c r="I9" s="102" t="s">
        <v>0</v>
      </c>
      <c r="J9" s="103">
        <v>3735</v>
      </c>
      <c r="K9" s="104">
        <v>622</v>
      </c>
    </row>
    <row r="10" spans="1:11" ht="15">
      <c r="A10" s="229" t="s">
        <v>7</v>
      </c>
      <c r="B10" s="96">
        <v>4</v>
      </c>
      <c r="C10" s="96">
        <v>4</v>
      </c>
      <c r="D10" s="97">
        <v>276</v>
      </c>
      <c r="E10" s="98">
        <v>164</v>
      </c>
      <c r="G10" s="229" t="s">
        <v>7</v>
      </c>
      <c r="H10" s="96">
        <v>4</v>
      </c>
      <c r="I10" s="96">
        <v>4</v>
      </c>
      <c r="J10" s="97">
        <v>1041</v>
      </c>
      <c r="K10" s="98">
        <v>174</v>
      </c>
    </row>
    <row r="11" spans="1:11" ht="15">
      <c r="A11" s="230"/>
      <c r="B11" s="99">
        <v>2</v>
      </c>
      <c r="C11" s="99">
        <v>4</v>
      </c>
      <c r="D11" s="100">
        <v>419</v>
      </c>
      <c r="E11" s="101">
        <v>249</v>
      </c>
      <c r="G11" s="230"/>
      <c r="H11" s="99">
        <v>2</v>
      </c>
      <c r="I11" s="99">
        <v>4</v>
      </c>
      <c r="J11" s="100">
        <v>1542</v>
      </c>
      <c r="K11" s="101">
        <v>257</v>
      </c>
    </row>
    <row r="12" spans="1:11" ht="15">
      <c r="A12" s="230"/>
      <c r="B12" s="99" t="s">
        <v>0</v>
      </c>
      <c r="C12" s="99">
        <v>4</v>
      </c>
      <c r="D12" s="100">
        <v>622</v>
      </c>
      <c r="E12" s="101">
        <v>370</v>
      </c>
      <c r="G12" s="230"/>
      <c r="H12" s="99" t="s">
        <v>0</v>
      </c>
      <c r="I12" s="99">
        <v>4</v>
      </c>
      <c r="J12" s="100">
        <v>2259</v>
      </c>
      <c r="K12" s="101">
        <v>377</v>
      </c>
    </row>
    <row r="13" spans="1:11" ht="15">
      <c r="A13" s="230"/>
      <c r="B13" s="99" t="s">
        <v>1</v>
      </c>
      <c r="C13" s="99">
        <v>2</v>
      </c>
      <c r="D13" s="100">
        <v>746</v>
      </c>
      <c r="E13" s="101">
        <v>444</v>
      </c>
      <c r="G13" s="230"/>
      <c r="H13" s="99" t="s">
        <v>1</v>
      </c>
      <c r="I13" s="99">
        <v>2</v>
      </c>
      <c r="J13" s="100">
        <v>2690</v>
      </c>
      <c r="K13" s="101">
        <v>448</v>
      </c>
    </row>
    <row r="14" spans="1:11" ht="15">
      <c r="A14" s="230"/>
      <c r="B14" s="99" t="s">
        <v>2</v>
      </c>
      <c r="C14" s="99">
        <v>2</v>
      </c>
      <c r="D14" s="100">
        <v>887</v>
      </c>
      <c r="E14" s="101">
        <v>528</v>
      </c>
      <c r="G14" s="230"/>
      <c r="H14" s="99" t="s">
        <v>2</v>
      </c>
      <c r="I14" s="99">
        <v>2</v>
      </c>
      <c r="J14" s="100">
        <v>3170</v>
      </c>
      <c r="K14" s="101">
        <v>528</v>
      </c>
    </row>
    <row r="15" spans="1:13" ht="15.75" thickBot="1">
      <c r="A15" s="231"/>
      <c r="B15" s="102" t="s">
        <v>3</v>
      </c>
      <c r="C15" s="102" t="s">
        <v>0</v>
      </c>
      <c r="D15" s="103">
        <v>1049</v>
      </c>
      <c r="E15" s="104">
        <v>625</v>
      </c>
      <c r="G15" s="231"/>
      <c r="H15" s="102" t="s">
        <v>3</v>
      </c>
      <c r="I15" s="102" t="s">
        <v>0</v>
      </c>
      <c r="J15" s="103">
        <v>3669</v>
      </c>
      <c r="K15" s="104">
        <v>617</v>
      </c>
      <c r="M15" s="86"/>
    </row>
    <row r="16" spans="1:13" ht="15">
      <c r="A16" s="229" t="s">
        <v>8</v>
      </c>
      <c r="B16" s="105">
        <v>8</v>
      </c>
      <c r="C16" s="106">
        <v>8</v>
      </c>
      <c r="D16" s="97">
        <v>209</v>
      </c>
      <c r="E16" s="98">
        <v>124</v>
      </c>
      <c r="G16" s="229" t="s">
        <v>8</v>
      </c>
      <c r="H16" s="105"/>
      <c r="I16" s="106"/>
      <c r="J16" s="97"/>
      <c r="K16" s="98"/>
      <c r="M16" s="86"/>
    </row>
    <row r="17" spans="1:13" ht="15">
      <c r="A17" s="230"/>
      <c r="B17" s="107">
        <v>6</v>
      </c>
      <c r="C17" s="108">
        <v>8</v>
      </c>
      <c r="D17" s="100">
        <v>319</v>
      </c>
      <c r="E17" s="101">
        <v>190</v>
      </c>
      <c r="G17" s="230"/>
      <c r="H17" s="107"/>
      <c r="I17" s="108"/>
      <c r="J17" s="100"/>
      <c r="K17" s="101"/>
      <c r="M17" s="86"/>
    </row>
    <row r="18" spans="1:13" ht="15">
      <c r="A18" s="230"/>
      <c r="B18" s="107">
        <v>6</v>
      </c>
      <c r="C18" s="108">
        <v>6</v>
      </c>
      <c r="D18" s="100">
        <v>319</v>
      </c>
      <c r="E18" s="101">
        <v>190</v>
      </c>
      <c r="G18" s="230"/>
      <c r="H18" s="107"/>
      <c r="I18" s="108"/>
      <c r="J18" s="100"/>
      <c r="K18" s="101"/>
      <c r="M18" s="86"/>
    </row>
    <row r="19" spans="1:13" ht="15">
      <c r="A19" s="230"/>
      <c r="B19" s="107">
        <v>4</v>
      </c>
      <c r="C19" s="108">
        <v>4</v>
      </c>
      <c r="D19" s="100">
        <v>474</v>
      </c>
      <c r="E19" s="101">
        <v>282</v>
      </c>
      <c r="G19" s="230"/>
      <c r="H19" s="107">
        <v>4</v>
      </c>
      <c r="I19" s="108">
        <v>4</v>
      </c>
      <c r="J19" s="100">
        <v>1963</v>
      </c>
      <c r="K19" s="101">
        <v>327</v>
      </c>
      <c r="M19" s="86"/>
    </row>
    <row r="20" spans="1:13" ht="15">
      <c r="A20" s="230"/>
      <c r="B20" s="107">
        <v>2</v>
      </c>
      <c r="C20" s="108">
        <v>4</v>
      </c>
      <c r="D20" s="100">
        <v>688</v>
      </c>
      <c r="E20" s="101">
        <v>401</v>
      </c>
      <c r="G20" s="230"/>
      <c r="H20" s="107">
        <v>2</v>
      </c>
      <c r="I20" s="108">
        <v>4</v>
      </c>
      <c r="J20" s="100">
        <v>2915</v>
      </c>
      <c r="K20" s="101">
        <v>486</v>
      </c>
      <c r="M20" s="86"/>
    </row>
    <row r="21" spans="1:13" ht="15">
      <c r="A21" s="230"/>
      <c r="B21" s="107" t="s">
        <v>0</v>
      </c>
      <c r="C21" s="108">
        <v>4</v>
      </c>
      <c r="D21" s="100">
        <v>975</v>
      </c>
      <c r="E21" s="101">
        <v>580</v>
      </c>
      <c r="G21" s="230"/>
      <c r="H21" s="107" t="s">
        <v>0</v>
      </c>
      <c r="I21" s="108">
        <v>4</v>
      </c>
      <c r="J21" s="100">
        <v>4152</v>
      </c>
      <c r="K21" s="101">
        <v>692</v>
      </c>
      <c r="M21" s="86"/>
    </row>
    <row r="22" spans="1:13" ht="15">
      <c r="A22" s="230"/>
      <c r="B22" s="107" t="s">
        <v>1</v>
      </c>
      <c r="C22" s="108">
        <v>2</v>
      </c>
      <c r="D22" s="100">
        <v>1146</v>
      </c>
      <c r="E22" s="101">
        <v>682</v>
      </c>
      <c r="G22" s="230"/>
      <c r="H22" s="107" t="s">
        <v>1</v>
      </c>
      <c r="I22" s="108">
        <v>2</v>
      </c>
      <c r="J22" s="100">
        <v>4934</v>
      </c>
      <c r="K22" s="101">
        <v>822</v>
      </c>
      <c r="M22" s="86"/>
    </row>
    <row r="23" spans="1:13" ht="15">
      <c r="A23" s="230"/>
      <c r="B23" s="107" t="s">
        <v>2</v>
      </c>
      <c r="C23" s="108">
        <v>2</v>
      </c>
      <c r="D23" s="100">
        <v>1335</v>
      </c>
      <c r="E23" s="101">
        <v>795</v>
      </c>
      <c r="G23" s="230"/>
      <c r="H23" s="107" t="s">
        <v>2</v>
      </c>
      <c r="I23" s="108">
        <v>2</v>
      </c>
      <c r="J23" s="100">
        <v>5786</v>
      </c>
      <c r="K23" s="101">
        <v>964</v>
      </c>
      <c r="M23" s="86"/>
    </row>
    <row r="24" spans="1:11" ht="15.75" thickBot="1">
      <c r="A24" s="231"/>
      <c r="B24" s="109" t="s">
        <v>3</v>
      </c>
      <c r="C24" s="102" t="s">
        <v>0</v>
      </c>
      <c r="D24" s="103">
        <v>1539</v>
      </c>
      <c r="E24" s="104">
        <v>910</v>
      </c>
      <c r="G24" s="231"/>
      <c r="H24" s="109" t="s">
        <v>3</v>
      </c>
      <c r="I24" s="102" t="s">
        <v>0</v>
      </c>
      <c r="J24" s="103">
        <v>6759</v>
      </c>
      <c r="K24" s="104">
        <v>1127</v>
      </c>
    </row>
    <row r="25" spans="1:11" ht="15">
      <c r="A25" s="229" t="s">
        <v>9</v>
      </c>
      <c r="B25" s="96">
        <v>4</v>
      </c>
      <c r="C25" s="96">
        <v>4</v>
      </c>
      <c r="D25" s="97">
        <v>298</v>
      </c>
      <c r="E25" s="98">
        <v>177</v>
      </c>
      <c r="G25" s="229" t="s">
        <v>9</v>
      </c>
      <c r="H25" s="96">
        <v>4</v>
      </c>
      <c r="I25" s="96">
        <v>4</v>
      </c>
      <c r="J25" s="97">
        <v>1176</v>
      </c>
      <c r="K25" s="98">
        <v>196</v>
      </c>
    </row>
    <row r="26" spans="1:11" ht="15">
      <c r="A26" s="230"/>
      <c r="B26" s="99">
        <v>2</v>
      </c>
      <c r="C26" s="99">
        <v>4</v>
      </c>
      <c r="D26" s="100">
        <v>427</v>
      </c>
      <c r="E26" s="101">
        <v>254</v>
      </c>
      <c r="G26" s="230"/>
      <c r="H26" s="99">
        <v>2</v>
      </c>
      <c r="I26" s="99">
        <v>4</v>
      </c>
      <c r="J26" s="100">
        <v>1720</v>
      </c>
      <c r="K26" s="101">
        <v>287</v>
      </c>
    </row>
    <row r="27" spans="1:11" ht="15">
      <c r="A27" s="230"/>
      <c r="B27" s="99" t="s">
        <v>0</v>
      </c>
      <c r="C27" s="99">
        <v>4</v>
      </c>
      <c r="D27" s="100">
        <v>595</v>
      </c>
      <c r="E27" s="101">
        <v>351</v>
      </c>
      <c r="G27" s="230"/>
      <c r="H27" s="99" t="s">
        <v>0</v>
      </c>
      <c r="I27" s="99">
        <v>4</v>
      </c>
      <c r="J27" s="100">
        <v>2407</v>
      </c>
      <c r="K27" s="101">
        <v>401</v>
      </c>
    </row>
    <row r="28" spans="1:11" ht="15">
      <c r="A28" s="230"/>
      <c r="B28" s="99" t="s">
        <v>1</v>
      </c>
      <c r="C28" s="99">
        <v>2</v>
      </c>
      <c r="D28" s="100">
        <v>708</v>
      </c>
      <c r="E28" s="101">
        <v>420</v>
      </c>
      <c r="G28" s="230"/>
      <c r="H28" s="99" t="s">
        <v>1</v>
      </c>
      <c r="I28" s="99">
        <v>2</v>
      </c>
      <c r="J28" s="100">
        <v>2820</v>
      </c>
      <c r="K28" s="101">
        <v>470</v>
      </c>
    </row>
    <row r="29" spans="1:11" ht="15">
      <c r="A29" s="230"/>
      <c r="B29" s="99" t="s">
        <v>2</v>
      </c>
      <c r="C29" s="99">
        <v>2</v>
      </c>
      <c r="D29" s="100">
        <v>833</v>
      </c>
      <c r="E29" s="101">
        <v>495</v>
      </c>
      <c r="G29" s="230"/>
      <c r="H29" s="99" t="s">
        <v>2</v>
      </c>
      <c r="I29" s="99">
        <v>2</v>
      </c>
      <c r="J29" s="100">
        <v>3042</v>
      </c>
      <c r="K29" s="101">
        <v>507</v>
      </c>
    </row>
    <row r="30" spans="1:11" ht="15.75" thickBot="1">
      <c r="A30" s="231"/>
      <c r="B30" s="102" t="s">
        <v>3</v>
      </c>
      <c r="C30" s="102" t="s">
        <v>0</v>
      </c>
      <c r="D30" s="103">
        <v>972</v>
      </c>
      <c r="E30" s="104">
        <v>570</v>
      </c>
      <c r="G30" s="231"/>
      <c r="H30" s="102" t="s">
        <v>3</v>
      </c>
      <c r="I30" s="102" t="s">
        <v>0</v>
      </c>
      <c r="J30" s="103">
        <v>3833</v>
      </c>
      <c r="K30" s="104">
        <v>639</v>
      </c>
    </row>
  </sheetData>
  <sheetProtection algorithmName="SHA-512" hashValue="vFG1/HHCTuyhtojMtczLEQ6JJAGKimIs8XF16kcC4BuwmjgSa0C6kWqj+V5D0fTqrcwvVKulECxSok1H/jScWQ==" saltValue="52uQy9w5sYBgfajlgMXHug==" spinCount="100000" sheet="1" objects="1" scenarios="1"/>
  <mergeCells count="10">
    <mergeCell ref="G2:K2"/>
    <mergeCell ref="G4:G9"/>
    <mergeCell ref="G10:G15"/>
    <mergeCell ref="G16:G24"/>
    <mergeCell ref="G25:G30"/>
    <mergeCell ref="A25:A30"/>
    <mergeCell ref="A2:E2"/>
    <mergeCell ref="A4:A9"/>
    <mergeCell ref="A10:A15"/>
    <mergeCell ref="A16:A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6"/>
  <sheetViews>
    <sheetView tabSelected="1" zoomScale="85" zoomScaleNormal="85" workbookViewId="0" topLeftCell="A44">
      <selection activeCell="I28" sqref="I28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5.28125" style="138" hidden="1" customWidth="1"/>
    <col min="17" max="17" width="11.8515625" style="138" hidden="1" customWidth="1"/>
    <col min="18" max="18" width="15.28125" style="138" hidden="1" customWidth="1"/>
    <col min="19" max="19" width="14.8515625" style="138" hidden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221</v>
      </c>
    </row>
    <row r="2" spans="1:14" ht="18">
      <c r="A2" s="245" t="s">
        <v>62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ht="18">
      <c r="A3" s="133"/>
      <c r="B3" s="133"/>
      <c r="C3" s="133"/>
      <c r="D3" s="133"/>
      <c r="E3" s="133"/>
      <c r="F3" s="22" t="s">
        <v>222</v>
      </c>
      <c r="G3" s="133"/>
      <c r="H3" s="133"/>
      <c r="I3" s="133"/>
      <c r="J3" s="133"/>
      <c r="K3" s="133"/>
      <c r="L3" s="133"/>
      <c r="M3" s="133"/>
      <c r="N3" s="87"/>
    </row>
    <row r="4" spans="1:31" ht="15.75">
      <c r="A4" s="246" t="s">
        <v>112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170</v>
      </c>
      <c r="AE4" s="138" t="s">
        <v>176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171</v>
      </c>
      <c r="AE5" s="138">
        <v>0.65</v>
      </c>
    </row>
    <row r="6" spans="1:31" ht="15.75" thickBot="1">
      <c r="A6" s="25" t="s">
        <v>23</v>
      </c>
      <c r="B6" s="26"/>
      <c r="C6" s="88"/>
      <c r="D6" s="258" t="s">
        <v>67</v>
      </c>
      <c r="E6" s="258"/>
      <c r="F6" s="266" t="s">
        <v>92</v>
      </c>
      <c r="G6" s="267"/>
      <c r="H6" s="263" t="s">
        <v>90</v>
      </c>
      <c r="I6" s="264"/>
      <c r="J6" s="265"/>
      <c r="K6" s="268" t="s">
        <v>81</v>
      </c>
      <c r="L6" s="269"/>
      <c r="M6" s="261" t="s">
        <v>218</v>
      </c>
      <c r="N6" s="262"/>
      <c r="Q6" s="198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172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173</v>
      </c>
      <c r="AE7" s="138">
        <v>0.8</v>
      </c>
    </row>
    <row r="8" spans="1:31" ht="15.75" thickBot="1">
      <c r="A8" s="25" t="s">
        <v>24</v>
      </c>
      <c r="B8" s="26"/>
      <c r="C8" s="26"/>
      <c r="D8" s="259" t="s">
        <v>82</v>
      </c>
      <c r="E8" s="258"/>
      <c r="F8" s="260"/>
      <c r="G8" s="26"/>
      <c r="H8" s="29"/>
      <c r="I8" s="235"/>
      <c r="J8" s="236"/>
      <c r="K8" s="26"/>
      <c r="L8" s="26" t="s">
        <v>174</v>
      </c>
      <c r="M8" s="26"/>
      <c r="N8" s="211" t="s">
        <v>171</v>
      </c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 t="s">
        <v>178</v>
      </c>
      <c r="L9" s="208"/>
      <c r="M9" s="23"/>
      <c r="N9" s="43" t="str">
        <f>IF(N10="","",IF(N10="3F","220 / 127 V","240 / 120 V"))</f>
        <v>240 / 120 V</v>
      </c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53" t="s">
        <v>70</v>
      </c>
      <c r="E10" s="254"/>
      <c r="F10" s="18"/>
      <c r="G10" s="18"/>
      <c r="H10" s="18"/>
      <c r="I10" s="18"/>
      <c r="J10" s="18"/>
      <c r="K10" s="23"/>
      <c r="L10" s="18" t="s">
        <v>179</v>
      </c>
      <c r="M10" s="18"/>
      <c r="N10" s="151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 t="s">
        <v>175</v>
      </c>
      <c r="L11" s="35"/>
      <c r="M11" s="18"/>
      <c r="N11" s="209">
        <v>1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71</v>
      </c>
      <c r="B12" s="37"/>
      <c r="C12" s="37"/>
      <c r="D12" s="150" t="s">
        <v>74</v>
      </c>
      <c r="E12" s="38"/>
      <c r="F12" s="39"/>
      <c r="G12" s="39"/>
      <c r="H12" s="39"/>
      <c r="I12" s="39"/>
      <c r="J12" s="37"/>
      <c r="K12" s="36"/>
      <c r="L12" s="37"/>
      <c r="M12" s="89" t="s">
        <v>30</v>
      </c>
      <c r="N12" s="190" t="s">
        <v>128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10</v>
      </c>
      <c r="E13" s="21"/>
      <c r="F13" s="28"/>
      <c r="G13" s="42" t="s">
        <v>32</v>
      </c>
      <c r="H13" s="247" t="s">
        <v>205</v>
      </c>
      <c r="I13" s="248"/>
      <c r="J13" s="248"/>
      <c r="K13" s="41"/>
      <c r="L13" s="21"/>
      <c r="M13" s="115" t="s">
        <v>93</v>
      </c>
      <c r="N13" s="210">
        <f>+N14/N11</f>
        <v>19.59087038137188</v>
      </c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f>10*90</f>
        <v>900</v>
      </c>
      <c r="E14" s="41"/>
      <c r="F14" s="28"/>
      <c r="G14" s="42" t="s">
        <v>35</v>
      </c>
      <c r="H14" s="249">
        <v>43511</v>
      </c>
      <c r="I14" s="250"/>
      <c r="J14" s="250"/>
      <c r="K14" s="41"/>
      <c r="L14" s="21"/>
      <c r="M14" s="115" t="s">
        <v>177</v>
      </c>
      <c r="N14" s="116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>19.59087038137188</v>
      </c>
      <c r="P14" s="224" t="s">
        <v>204</v>
      </c>
      <c r="Q14" s="225">
        <f>+D13+D72+D131+D190+D248+D306+D364+D422</f>
        <v>116</v>
      </c>
      <c r="R14" s="272" t="s">
        <v>202</v>
      </c>
      <c r="S14" s="272"/>
      <c r="T14" s="272"/>
      <c r="U14" s="138" t="s">
        <v>87</v>
      </c>
      <c r="W14" s="138">
        <v>37.5</v>
      </c>
      <c r="X14" s="138">
        <v>100</v>
      </c>
    </row>
    <row r="15" spans="1:24" ht="33.75" customHeight="1" thickBot="1">
      <c r="A15" s="270" t="str">
        <f>+IF(OR(N8="INDUSTRIAL"),"NOTA: Estratos:  A1 (Consumo-Alto); A (Consumo-Medio); B(Consumo-Bajo); C(Consumo-Mínimo)",IF(N8="","","NOTA: Estratos:  A1 (Casco Urbano-Sector hotelero);A (Barrios Centricos); B(Zona Periferica); C(Zona Rural)"))</f>
        <v>NOTA: Estratos:  A1 (Casco Urbano-Sector hotelero);A (Barrios Centricos); B(Zona Periferica); C(Zona Rural)</v>
      </c>
      <c r="B15" s="271"/>
      <c r="C15" s="271"/>
      <c r="D15" s="271"/>
      <c r="E15" s="271"/>
      <c r="F15" s="271"/>
      <c r="G15" s="271"/>
      <c r="H15" s="271"/>
      <c r="I15" s="271"/>
      <c r="J15" s="271"/>
      <c r="K15" s="44"/>
      <c r="L15" s="34"/>
      <c r="M15" s="130" t="str">
        <f>+IF(OR(N10="",D12="",D13=""),"","POT. NOMINAL TRAFO. (KVA):")</f>
        <v>POT. NOMINAL TRAFO. (KVA):</v>
      </c>
      <c r="N15" s="117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>25</v>
      </c>
      <c r="P15" s="224" t="s">
        <v>203</v>
      </c>
      <c r="Q15" s="225">
        <f>+D14+D73+D132+D191+D249+D307+D365+D423</f>
        <v>4970</v>
      </c>
      <c r="R15" s="273" t="s">
        <v>200</v>
      </c>
      <c r="S15" s="227" t="s">
        <v>198</v>
      </c>
      <c r="T15" s="226">
        <v>6</v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Q16" s="138">
        <f>+Q15/110</f>
        <v>45.18181818181818</v>
      </c>
      <c r="R16" s="273"/>
      <c r="S16" s="227" t="s">
        <v>199</v>
      </c>
      <c r="T16" s="226">
        <v>4.5</v>
      </c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R17" s="273" t="s">
        <v>201</v>
      </c>
      <c r="S17" s="227" t="s">
        <v>198</v>
      </c>
      <c r="T17" s="226">
        <v>6</v>
      </c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 t="s">
        <v>196</v>
      </c>
      <c r="M18" s="21"/>
      <c r="N18" s="163"/>
      <c r="R18" s="273"/>
      <c r="S18" s="227" t="s">
        <v>199</v>
      </c>
      <c r="T18" s="226">
        <v>4.5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63" t="s">
        <v>134</v>
      </c>
      <c r="R19" s="139"/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7" t="s">
        <v>38</v>
      </c>
      <c r="B21" s="252"/>
      <c r="C21" s="52" t="s">
        <v>39</v>
      </c>
      <c r="D21" s="52" t="s">
        <v>40</v>
      </c>
      <c r="E21" s="53" t="s">
        <v>41</v>
      </c>
      <c r="F21" s="53" t="s">
        <v>42</v>
      </c>
      <c r="G21" s="257" t="s">
        <v>43</v>
      </c>
      <c r="H21" s="251"/>
      <c r="I21" s="251"/>
      <c r="J21" s="252"/>
      <c r="K21" s="255" t="s">
        <v>44</v>
      </c>
      <c r="L21" s="251" t="s">
        <v>45</v>
      </c>
      <c r="M21" s="251"/>
      <c r="N21" s="252"/>
      <c r="P21" s="138" t="s">
        <v>43</v>
      </c>
      <c r="Q21" s="228">
        <f>+H52+H111+H170+H229+H287+H345+H403+H461</f>
        <v>1051</v>
      </c>
      <c r="R21" s="228"/>
      <c r="S21" s="228">
        <f>+J52+J111+J170+J229+J287+J345+J403+J461</f>
        <v>23</v>
      </c>
      <c r="T21" s="228">
        <f>+Q21+S21</f>
        <v>1074</v>
      </c>
      <c r="U21" s="237" t="s">
        <v>98</v>
      </c>
      <c r="V21" s="237" t="s">
        <v>99</v>
      </c>
    </row>
    <row r="22" spans="1:22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6"/>
      <c r="L22" s="53" t="s">
        <v>54</v>
      </c>
      <c r="M22" s="43" t="s">
        <v>55</v>
      </c>
      <c r="N22" s="57" t="s">
        <v>56</v>
      </c>
      <c r="U22" s="237"/>
      <c r="V22" s="237"/>
    </row>
    <row r="23" spans="1:22" ht="15">
      <c r="A23" s="191" t="s">
        <v>134</v>
      </c>
      <c r="B23" s="164" t="s">
        <v>135</v>
      </c>
      <c r="C23" s="165">
        <v>28</v>
      </c>
      <c r="D23" s="165">
        <v>6</v>
      </c>
      <c r="E23" s="166">
        <v>270</v>
      </c>
      <c r="F23" s="193">
        <f>IF($N$8="","",IF($N$8="INDUSTRIAL",IF(OR($D$6="",$D$12=""),"",IF(OR(D23&gt;$D$13,E23&gt;$D$14),"Rev. Total. abona.",IF(D23="",IF(E23="","",E23/(0.9*1000)),IF(OR($D$6="SAN CRISTOBAL",$D$6="FLOREANA"),VLOOKUP(D23,'Estratos SCY - FLO'!$A$4:$M$108,IF($D$12="A1",2,IF($D$12="A",5,IF($D$12="B",8,11))))+E23/(0.92*1000),VLOOKUP(D23,'Estratos SCX - ISA'!$A$3:$M$107,IF($D$12="A1",2,IF($D$12="A",5,IF($D$12="B",8,11))))+E23/(0.92*1000))))),IF(OR($D$6="",$D$12=""),"",IF(OR(D23&gt;$D$13,E23&gt;$D$14),"Rev. Total. abona.",IF(D23="",IF(E23="","",E23/(0.92*1000)),IF(OR($D$6="SAN CRISTOBAL",$D$6="FLOREANA"),VLOOKUP(D23,'Estratos SCY - FLO'!$O$4:$S$108,IF($D$12="A1",2,IF($D$12="A",3,IF($D$12="B",4,5))))+E23/(0.92*1000),VLOOKUP(D23,'Estratos SCX - ISA'!$O$4:$S$108,IF($D$12="A1",2,IF($D$12="A",3,IF($D$12="B",4,5))))+E23/(0.92*1000)))))))</f>
        <v>13.375832716518351</v>
      </c>
      <c r="G23" s="95">
        <f>IF(OR($N$10="",C23=""),"",IF($N$10="1F",1,3))</f>
        <v>1</v>
      </c>
      <c r="H23" s="182" t="s">
        <v>0</v>
      </c>
      <c r="I23" s="182">
        <v>2</v>
      </c>
      <c r="J23" s="95">
        <f>IF(OR(H23="",$D$10="",$N$10=""),"",IF($D$10="COBRE",VLOOKUP(CDV_PROY_BT!H23,FDV!$B$16:$E$24,IF(CDV_PROY_BT!$N$10="3F",3,4),FALSE),IF($D$10="ACS",VLOOKUP(CDV_PROY_BT!H23,FDV!$B$10:$E$15,IF(CDV_PROY_BT!$N$10="3F",3,4),FALSE),IF($D$10="5005 (PREENSAMBLADO)",VLOOKUP(CDV_PROY_BT!H23,FDV!$B$4:$E$9,IF(CDV_PROY_BT!$N$10="3F",3,4),FALSE),VLOOKUP(CDV_PROY_BT!H23,FDV!$B$25:$E$30,IF(CDV_PROY_BT!$N$10="3F",3,4),FALSE)))))</f>
        <v>412</v>
      </c>
      <c r="K23" s="60">
        <f aca="true" t="shared" si="0" ref="K23:K50">IF(C23="","",ROUND(F23*C23,0))</f>
        <v>375</v>
      </c>
      <c r="L23" s="61">
        <f>IF($N$19="","",IF(C23="","",ROUND(K23/J23,2)))</f>
        <v>0.91</v>
      </c>
      <c r="M23" s="61">
        <f>IF(C23="","",VLOOKUP(A23,$B$23:$N$50,12,FALSE)+L23+N18)</f>
        <v>0.91</v>
      </c>
      <c r="N23" s="154"/>
      <c r="U23" s="138">
        <f>+IF(C23="",0,C23)</f>
        <v>28</v>
      </c>
      <c r="V23" s="138">
        <f>IF(OR(C23="",G23=""),0,C23*G23)</f>
        <v>28</v>
      </c>
    </row>
    <row r="24" spans="1:22" ht="15">
      <c r="A24" s="167" t="s">
        <v>135</v>
      </c>
      <c r="B24" s="168" t="s">
        <v>136</v>
      </c>
      <c r="C24" s="169">
        <v>27</v>
      </c>
      <c r="D24" s="169">
        <v>5</v>
      </c>
      <c r="E24" s="170">
        <v>270</v>
      </c>
      <c r="F24" s="62">
        <f>IF($N$8="","",IF($N$8="INDUSTRIAL",IF(OR($D$6="",$D$12=""),"",IF(OR(D24&gt;$D$13,E24&gt;$D$14),"Rev. Total. abona.",IF(D24="",IF(E24="","",E24/(0.9*1000)),IF(OR($D$6="SAN CRISTOBAL",$D$6="FLOREANA"),VLOOKUP(D24,'Estratos SCY - FLO'!$A$4:$M$108,IF($D$12="A1",2,IF($D$12="A",5,IF($D$12="B",8,11))))+E24/(0.92*1000),VLOOKUP(D24,'Estratos SCX - ISA'!$A$3:$M$107,IF($D$12="A1",2,IF($D$12="A",5,IF($D$12="B",8,11))))+E24/(0.92*1000))))),IF(OR($D$6="",$D$12=""),"",IF(OR(D24&gt;$D$13,E24&gt;$D$14),"Rev. Total. abona.",IF(D24="",IF(E24="","",E24/(0.92*1000)),IF(OR($D$6="SAN CRISTOBAL",$D$6="FLOREANA"),VLOOKUP(D24,'Estratos SCY - FLO'!$O$4:$S$108,IF($D$12="A1",2,IF($D$12="A",3,IF($D$12="B",4,5))))+E24/(0.92*1000),VLOOKUP(D24,'Estratos SCX - ISA'!$O$4:$S$108,IF($D$12="A1",2,IF($D$12="A",3,IF($D$12="B",4,5))))+E24/(0.92*1000)))))))</f>
        <v>12.023748053930838</v>
      </c>
      <c r="G24" s="59">
        <f aca="true" t="shared" si="1" ref="G24:G50">IF(OR($N$10="",C24=""),"",IF($N$10="1F",1,3))</f>
        <v>1</v>
      </c>
      <c r="H24" s="183" t="s">
        <v>0</v>
      </c>
      <c r="I24" s="183">
        <v>2</v>
      </c>
      <c r="J24" s="59">
        <f>IF(OR(H24="",$D$10="",$N$10=""),"",IF($D$10="COBRE",VLOOKUP(CDV_PROY_BT!H24,FDV!$B$16:$E$24,IF(CDV_PROY_BT!$N$10="3F",3,4),FALSE),IF($D$10="ACS",VLOOKUP(CDV_PROY_BT!H24,FDV!$B$10:$E$15,IF(CDV_PROY_BT!$N$10="3F",3,4),FALSE),IF($D$10="5005 (PREENSAMBLADO)",VLOOKUP(CDV_PROY_BT!H24,FDV!$B$4:$E$9,IF(CDV_PROY_BT!$N$10="3F",3,4),FALSE),VLOOKUP(CDV_PROY_BT!H24,FDV!$B$25:$E$30,IF(CDV_PROY_BT!$N$10="3F",3,4),FALSE)))))</f>
        <v>412</v>
      </c>
      <c r="K24" s="63">
        <f t="shared" si="0"/>
        <v>325</v>
      </c>
      <c r="L24" s="62">
        <f aca="true" t="shared" si="2" ref="L24:L49">IF($N$19="","",IF(C24="","",ROUND(K24/J24,2)))</f>
        <v>0.79</v>
      </c>
      <c r="M24" s="62">
        <f aca="true" t="shared" si="3" ref="M24:M49">IF(C24="","",VLOOKUP(A24,$B$23:$N$50,12,FALSE)+L24)</f>
        <v>1.7000000000000002</v>
      </c>
      <c r="N24" s="155"/>
      <c r="U24" s="138">
        <f aca="true" t="shared" si="4" ref="U24:U49">+IF(C24="",0,C24)</f>
        <v>27</v>
      </c>
      <c r="V24" s="138">
        <f aca="true" t="shared" si="5" ref="V24:V49">IF(OR(C24="",G24=""),0,C24*G24)</f>
        <v>27</v>
      </c>
    </row>
    <row r="25" spans="1:22" ht="15">
      <c r="A25" s="167" t="s">
        <v>136</v>
      </c>
      <c r="B25" s="168" t="s">
        <v>137</v>
      </c>
      <c r="C25" s="169">
        <v>29</v>
      </c>
      <c r="D25" s="169">
        <v>3</v>
      </c>
      <c r="E25" s="170">
        <v>180</v>
      </c>
      <c r="F25" s="58">
        <f>IF($N$8="","",IF($N$8="INDUSTRIAL",IF(OR($D$6="",$D$12=""),"",IF(OR(D25&gt;$D$13,E25&gt;$D$14),"Rev. Total. abona.",IF(D25="",IF(E25="","",E25/(0.9*1000)),IF(OR($D$6="SAN CRISTOBAL",$D$6="FLOREANA"),VLOOKUP(D25,'Estratos SCY - FLO'!$A$4:$M$108,IF($D$12="A1",2,IF($D$12="A",5,IF($D$12="B",8,11))))+E25/(0.92*1000),VLOOKUP(D25,'Estratos SCX - ISA'!$A$3:$M$107,IF($D$12="A1",2,IF($D$12="A",5,IF($D$12="B",8,11))))+E25/(0.92*1000))))),IF(OR($D$6="",$D$12=""),"",IF(OR(D25&gt;$D$13,E25&gt;$D$14),"Rev. Total. abona.",IF(D25="",IF(E25="","",E25/(0.92*1000)),IF(OR($D$6="SAN CRISTOBAL",$D$6="FLOREANA"),VLOOKUP(D25,'Estratos SCY - FLO'!$O$4:$S$108,IF($D$12="A1",2,IF($D$12="A",3,IF($D$12="B",4,5))))+E25/(0.92*1000),VLOOKUP(D25,'Estratos SCX - ISA'!$O$4:$S$108,IF($D$12="A1",2,IF($D$12="A",3,IF($D$12="B",4,5))))+E25/(0.92*1000)))))))</f>
        <v>8.844050116044574</v>
      </c>
      <c r="G25" s="59">
        <f t="shared" si="1"/>
        <v>1</v>
      </c>
      <c r="H25" s="183" t="s">
        <v>0</v>
      </c>
      <c r="I25" s="183">
        <v>2</v>
      </c>
      <c r="J25" s="59">
        <f>IF(OR(H25="",$D$10="",$N$10=""),"",IF($D$10="COBRE",VLOOKUP(CDV_PROY_BT!H25,FDV!$B$16:$E$24,IF(CDV_PROY_BT!$N$10="3F",3,4),FALSE),IF($D$10="ACS",VLOOKUP(CDV_PROY_BT!H25,FDV!$B$10:$E$15,IF(CDV_PROY_BT!$N$10="3F",3,4),FALSE),IF($D$10="5005 (PREENSAMBLADO)",VLOOKUP(CDV_PROY_BT!H25,FDV!$B$4:$E$9,IF(CDV_PROY_BT!$N$10="3F",3,4),FALSE),VLOOKUP(CDV_PROY_BT!H25,FDV!$B$25:$E$30,IF(CDV_PROY_BT!$N$10="3F",3,4),FALSE)))))</f>
        <v>412</v>
      </c>
      <c r="K25" s="63">
        <f t="shared" si="0"/>
        <v>256</v>
      </c>
      <c r="L25" s="62">
        <f t="shared" si="2"/>
        <v>0.62</v>
      </c>
      <c r="M25" s="62">
        <f t="shared" si="3"/>
        <v>2.3200000000000003</v>
      </c>
      <c r="N25" s="155"/>
      <c r="U25" s="138">
        <f t="shared" si="4"/>
        <v>29</v>
      </c>
      <c r="V25" s="138">
        <f t="shared" si="5"/>
        <v>29</v>
      </c>
    </row>
    <row r="26" spans="1:22" ht="15">
      <c r="A26" s="167" t="s">
        <v>137</v>
      </c>
      <c r="B26" s="168" t="s">
        <v>138</v>
      </c>
      <c r="C26" s="169">
        <v>40</v>
      </c>
      <c r="D26" s="169">
        <v>2</v>
      </c>
      <c r="E26" s="170">
        <v>180</v>
      </c>
      <c r="F26" s="58">
        <f>IF($N$8="","",IF($N$8="INDUSTRIAL",IF(OR($D$6="",$D$12=""),"",IF(OR(D26&gt;$D$13,E26&gt;$D$14),"Rev. Total. abona.",IF(D26="",IF(E26="","",E26/(0.9*1000)),IF(OR($D$6="SAN CRISTOBAL",$D$6="FLOREANA"),VLOOKUP(D26,'Estratos SCY - FLO'!$A$4:$M$108,IF($D$12="A1",2,IF($D$12="A",5,IF($D$12="B",8,11))))+E26/(0.92*1000),VLOOKUP(D26,'Estratos SCX - ISA'!$A$3:$M$107,IF($D$12="A1",2,IF($D$12="A",5,IF($D$12="B",8,11))))+E26/(0.92*1000))))),IF(OR($D$6="",$D$12=""),"",IF(OR(D26&gt;$D$13,E26&gt;$D$14),"Rev. Total. abona.",IF(D26="",IF(E26="","",E26/(0.92*1000)),IF(OR($D$6="SAN CRISTOBAL",$D$6="FLOREANA"),VLOOKUP(D26,'Estratos SCY - FLO'!$O$4:$S$108,IF($D$12="A1",2,IF($D$12="A",3,IF($D$12="B",4,5))))+E26/(0.92*1000),VLOOKUP(D26,'Estratos SCX - ISA'!$O$4:$S$108,IF($D$12="A1",2,IF($D$12="A",3,IF($D$12="B",4,5))))+E26/(0.92*1000)))))))</f>
        <v>6.660657868098465</v>
      </c>
      <c r="G26" s="59">
        <f t="shared" si="1"/>
        <v>1</v>
      </c>
      <c r="H26" s="183" t="s">
        <v>0</v>
      </c>
      <c r="I26" s="183">
        <v>2</v>
      </c>
      <c r="J26" s="59">
        <f>IF(OR(H26="",$D$10="",$N$10=""),"",IF($D$10="COBRE",VLOOKUP(CDV_PROY_BT!H26,FDV!$B$16:$E$24,IF(CDV_PROY_BT!$N$10="3F",3,4),FALSE),IF($D$10="ACS",VLOOKUP(CDV_PROY_BT!H26,FDV!$B$10:$E$15,IF(CDV_PROY_BT!$N$10="3F",3,4),FALSE),IF($D$10="5005 (PREENSAMBLADO)",VLOOKUP(CDV_PROY_BT!H26,FDV!$B$4:$E$9,IF(CDV_PROY_BT!$N$10="3F",3,4),FALSE),VLOOKUP(CDV_PROY_BT!H26,FDV!$B$25:$E$30,IF(CDV_PROY_BT!$N$10="3F",3,4),FALSE)))))</f>
        <v>412</v>
      </c>
      <c r="K26" s="63">
        <f t="shared" si="0"/>
        <v>266</v>
      </c>
      <c r="L26" s="62">
        <f t="shared" si="2"/>
        <v>0.65</v>
      </c>
      <c r="M26" s="62">
        <f t="shared" si="3"/>
        <v>2.97</v>
      </c>
      <c r="N26" s="155">
        <f>+M26</f>
        <v>2.97</v>
      </c>
      <c r="U26" s="138">
        <f t="shared" si="4"/>
        <v>40</v>
      </c>
      <c r="V26" s="138">
        <f t="shared" si="5"/>
        <v>40</v>
      </c>
    </row>
    <row r="27" spans="1:22" ht="15">
      <c r="A27" s="167" t="s">
        <v>134</v>
      </c>
      <c r="B27" s="168" t="s">
        <v>219</v>
      </c>
      <c r="C27" s="169">
        <v>31</v>
      </c>
      <c r="D27" s="169">
        <v>3</v>
      </c>
      <c r="E27" s="170">
        <f>6*90</f>
        <v>540</v>
      </c>
      <c r="F27" s="58">
        <f>IF($N$8="","",IF($N$8="INDUSTRIAL",IF(OR($D$6="",$D$12=""),"",IF(OR(D27&gt;$D$13,E27&gt;$D$14),"Rev. Total. abona.",IF(D27="",IF(E27="","",E27/(0.9*1000)),IF(OR($D$6="SAN CRISTOBAL",$D$6="FLOREANA"),VLOOKUP(D27,'Estratos SCY - FLO'!$A$4:$M$108,IF($D$12="A1",2,IF($D$12="A",5,IF($D$12="B",8,11))))+E27/(0.92*1000),VLOOKUP(D27,'Estratos SCX - ISA'!$A$3:$M$107,IF($D$12="A1",2,IF($D$12="A",5,IF($D$12="B",8,11))))+E27/(0.92*1000))))),IF(OR($D$6="",$D$12=""),"",IF(OR(D27&gt;$D$13,E27&gt;$D$14),"Rev. Total. abona.",IF(D27="",IF(E27="","",E27/(0.92*1000)),IF(OR($D$6="SAN CRISTOBAL",$D$6="FLOREANA"),VLOOKUP(D27,'Estratos SCY - FLO'!$O$4:$S$108,IF($D$12="A1",2,IF($D$12="A",3,IF($D$12="B",4,5))))+E27/(0.92*1000),VLOOKUP(D27,'Estratos SCX - ISA'!$O$4:$S$108,IF($D$12="A1",2,IF($D$12="A",3,IF($D$12="B",4,5))))+E27/(0.92*1000)))))))</f>
        <v>9.235354463870662</v>
      </c>
      <c r="G27" s="59">
        <f t="shared" si="1"/>
        <v>1</v>
      </c>
      <c r="H27" s="183" t="s">
        <v>0</v>
      </c>
      <c r="I27" s="183">
        <v>2</v>
      </c>
      <c r="J27" s="59">
        <f>IF(OR(H27="",$D$10="",$N$10=""),"",IF($D$10="COBRE",VLOOKUP(CDV_PROY_BT!H27,FDV!$B$16:$E$24,IF(CDV_PROY_BT!$N$10="3F",3,4),FALSE),IF($D$10="ACS",VLOOKUP(CDV_PROY_BT!H27,FDV!$B$10:$E$15,IF(CDV_PROY_BT!$N$10="3F",3,4),FALSE),IF($D$10="5005 (PREENSAMBLADO)",VLOOKUP(CDV_PROY_BT!H27,FDV!$B$4:$E$9,IF(CDV_PROY_BT!$N$10="3F",3,4),FALSE),VLOOKUP(CDV_PROY_BT!H27,FDV!$B$25:$E$30,IF(CDV_PROY_BT!$N$10="3F",3,4),FALSE)))))</f>
        <v>412</v>
      </c>
      <c r="K27" s="63">
        <f t="shared" si="0"/>
        <v>286</v>
      </c>
      <c r="L27" s="62">
        <f t="shared" si="2"/>
        <v>0.69</v>
      </c>
      <c r="M27" s="62">
        <f t="shared" si="3"/>
        <v>0.69</v>
      </c>
      <c r="N27" s="155"/>
      <c r="U27" s="138">
        <f t="shared" si="4"/>
        <v>31</v>
      </c>
      <c r="V27" s="138">
        <f t="shared" si="5"/>
        <v>31</v>
      </c>
    </row>
    <row r="28" spans="1:22" ht="15">
      <c r="A28" s="167" t="s">
        <v>219</v>
      </c>
      <c r="B28" s="168" t="s">
        <v>133</v>
      </c>
      <c r="C28" s="169">
        <v>14</v>
      </c>
      <c r="D28" s="169"/>
      <c r="E28" s="170">
        <v>0</v>
      </c>
      <c r="F28" s="58">
        <f>IF($N$8="","",IF($N$8="INDUSTRIAL",IF(OR($D$6="",$D$12=""),"",IF(OR(D28&gt;$D$13,E28&gt;$D$14),"Rev. Total. abona.",IF(D28="",IF(E28="","",E28/(0.9*1000)),IF(OR($D$6="SAN CRISTOBAL",$D$6="FLOREANA"),VLOOKUP(D28,'Estratos SCY - FLO'!$A$4:$M$108,IF($D$12="A1",2,IF($D$12="A",5,IF($D$12="B",8,11))))+E28/(0.92*1000),VLOOKUP(D28,'Estratos SCX - ISA'!$A$3:$M$107,IF($D$12="A1",2,IF($D$12="A",5,IF($D$12="B",8,11))))+E28/(0.92*1000))))),IF(OR($D$6="",$D$12=""),"",IF(OR(D28&gt;$D$13,E28&gt;$D$14),"Rev. Total. abona.",IF(D28="",IF(E28="","",E28/(0.92*1000)),IF(OR($D$6="SAN CRISTOBAL",$D$6="FLOREANA"),VLOOKUP(D28,'Estratos SCY - FLO'!$O$4:$S$108,IF($D$12="A1",2,IF($D$12="A",3,IF($D$12="B",4,5))))+E28/(0.92*1000),VLOOKUP(D28,'Estratos SCX - ISA'!$O$4:$S$108,IF($D$12="A1",2,IF($D$12="A",3,IF($D$12="B",4,5))))+E28/(0.92*1000)))))))</f>
        <v>0</v>
      </c>
      <c r="G28" s="59">
        <f t="shared" si="1"/>
        <v>1</v>
      </c>
      <c r="H28" s="183" t="s">
        <v>0</v>
      </c>
      <c r="I28" s="183">
        <v>2</v>
      </c>
      <c r="J28" s="59">
        <f>IF(OR(H28="",$D$10="",$N$10=""),"",IF($D$10="COBRE",VLOOKUP(CDV_PROY_BT!H28,FDV!$B$16:$E$24,IF(CDV_PROY_BT!$N$10="3F",3,4),FALSE),IF($D$10="ACS",VLOOKUP(CDV_PROY_BT!H28,FDV!$B$10:$E$15,IF(CDV_PROY_BT!$N$10="3F",3,4),FALSE),IF($D$10="5005 (PREENSAMBLADO)",VLOOKUP(CDV_PROY_BT!H28,FDV!$B$4:$E$9,IF(CDV_PROY_BT!$N$10="3F",3,4),FALSE),VLOOKUP(CDV_PROY_BT!H28,FDV!$B$25:$E$30,IF(CDV_PROY_BT!$N$10="3F",3,4),FALSE)))))</f>
        <v>412</v>
      </c>
      <c r="K28" s="63">
        <f t="shared" si="0"/>
        <v>0</v>
      </c>
      <c r="L28" s="62">
        <f t="shared" si="2"/>
        <v>0</v>
      </c>
      <c r="M28" s="62">
        <f t="shared" si="3"/>
        <v>0.69</v>
      </c>
      <c r="N28" s="155">
        <f>+M28</f>
        <v>0.69</v>
      </c>
      <c r="U28" s="138">
        <f t="shared" si="4"/>
        <v>14</v>
      </c>
      <c r="V28" s="138">
        <f t="shared" si="5"/>
        <v>14</v>
      </c>
    </row>
    <row r="29" spans="1:22" ht="15">
      <c r="A29" s="167" t="s">
        <v>219</v>
      </c>
      <c r="B29" s="168" t="s">
        <v>147</v>
      </c>
      <c r="C29" s="169">
        <v>28</v>
      </c>
      <c r="D29" s="169"/>
      <c r="E29" s="170">
        <v>90</v>
      </c>
      <c r="F29" s="58">
        <f>IF($N$8="","",IF($N$8="INDUSTRIAL",IF(OR($D$6="",$D$12=""),"",IF(OR(D29&gt;$D$13,E29&gt;$D$14),"Rev. Total. abona.",IF(D29="",IF(E29="","",E29/(0.9*1000)),IF(OR($D$6="SAN CRISTOBAL",$D$6="FLOREANA"),VLOOKUP(D29,'Estratos SCY - FLO'!$A$4:$M$108,IF($D$12="A1",2,IF($D$12="A",5,IF($D$12="B",8,11))))+E29/(0.92*1000),VLOOKUP(D29,'Estratos SCX - ISA'!$A$3:$M$107,IF($D$12="A1",2,IF($D$12="A",5,IF($D$12="B",8,11))))+E29/(0.92*1000))))),IF(OR($D$6="",$D$12=""),"",IF(OR(D29&gt;$D$13,E29&gt;$D$14),"Rev. Total. abona.",IF(D29="",IF(E29="","",E29/(0.92*1000)),IF(OR($D$6="SAN CRISTOBAL",$D$6="FLOREANA"),VLOOKUP(D29,'Estratos SCY - FLO'!$O$4:$S$108,IF($D$12="A1",2,IF($D$12="A",3,IF($D$12="B",4,5))))+E29/(0.92*1000),VLOOKUP(D29,'Estratos SCX - ISA'!$O$4:$S$108,IF($D$12="A1",2,IF($D$12="A",3,IF($D$12="B",4,5))))+E29/(0.92*1000)))))))</f>
        <v>0.09782608695652174</v>
      </c>
      <c r="G29" s="59">
        <f t="shared" si="1"/>
        <v>1</v>
      </c>
      <c r="H29" s="183" t="s">
        <v>0</v>
      </c>
      <c r="I29" s="183">
        <v>2</v>
      </c>
      <c r="J29" s="59">
        <f>IF(OR(H29="",$D$10="",$N$10=""),"",IF($D$10="COBRE",VLOOKUP(CDV_PROY_BT!H29,FDV!$B$16:$E$24,IF(CDV_PROY_BT!$N$10="3F",3,4),FALSE),IF($D$10="ACS",VLOOKUP(CDV_PROY_BT!H29,FDV!$B$10:$E$15,IF(CDV_PROY_BT!$N$10="3F",3,4),FALSE),IF($D$10="5005 (PREENSAMBLADO)",VLOOKUP(CDV_PROY_BT!H29,FDV!$B$4:$E$9,IF(CDV_PROY_BT!$N$10="3F",3,4),FALSE),VLOOKUP(CDV_PROY_BT!H29,FDV!$B$25:$E$30,IF(CDV_PROY_BT!$N$10="3F",3,4),FALSE)))))</f>
        <v>412</v>
      </c>
      <c r="K29" s="63">
        <f t="shared" si="0"/>
        <v>3</v>
      </c>
      <c r="L29" s="62">
        <f t="shared" si="2"/>
        <v>0.01</v>
      </c>
      <c r="M29" s="62">
        <f t="shared" si="3"/>
        <v>0.7</v>
      </c>
      <c r="N29" s="155">
        <f>+M29</f>
        <v>0.7</v>
      </c>
      <c r="U29" s="138">
        <f t="shared" si="4"/>
        <v>28</v>
      </c>
      <c r="V29" s="138">
        <f t="shared" si="5"/>
        <v>28</v>
      </c>
    </row>
    <row r="30" spans="1:22" ht="15">
      <c r="A30" s="167" t="s">
        <v>219</v>
      </c>
      <c r="B30" s="168" t="s">
        <v>146</v>
      </c>
      <c r="C30" s="169">
        <v>11</v>
      </c>
      <c r="D30" s="169">
        <v>3</v>
      </c>
      <c r="E30" s="170">
        <f>5*90</f>
        <v>450</v>
      </c>
      <c r="F30" s="58">
        <f>IF($N$8="","",IF($N$8="INDUSTRIAL",IF(OR($D$6="",$D$12=""),"",IF(OR(D30&gt;$D$13,E30&gt;$D$14),"Rev. Total. abona.",IF(D30="",IF(E30="","",E30/(0.9*1000)),IF(OR($D$6="SAN CRISTOBAL",$D$6="FLOREANA"),VLOOKUP(D30,'Estratos SCY - FLO'!$A$4:$M$108,IF($D$12="A1",2,IF($D$12="A",5,IF($D$12="B",8,11))))+E30/(0.92*1000),VLOOKUP(D30,'Estratos SCX - ISA'!$A$3:$M$107,IF($D$12="A1",2,IF($D$12="A",5,IF($D$12="B",8,11))))+E30/(0.92*1000))))),IF(OR($D$6="",$D$12=""),"",IF(OR(D30&gt;$D$13,E30&gt;$D$14),"Rev. Total. abona.",IF(D30="",IF(E30="","",E30/(0.92*1000)),IF(OR($D$6="SAN CRISTOBAL",$D$6="FLOREANA"),VLOOKUP(D30,'Estratos SCY - FLO'!$O$4:$S$108,IF($D$12="A1",2,IF($D$12="A",3,IF($D$12="B",4,5))))+E30/(0.92*1000),VLOOKUP(D30,'Estratos SCX - ISA'!$O$4:$S$108,IF($D$12="A1",2,IF($D$12="A",3,IF($D$12="B",4,5))))+E30/(0.92*1000)))))))</f>
        <v>9.13752837691414</v>
      </c>
      <c r="G30" s="59">
        <f t="shared" si="1"/>
        <v>1</v>
      </c>
      <c r="H30" s="183" t="s">
        <v>0</v>
      </c>
      <c r="I30" s="183">
        <v>2</v>
      </c>
      <c r="J30" s="59">
        <f>IF(OR(H30="",$D$10="",$N$10=""),"",IF($D$10="COBRE",VLOOKUP(CDV_PROY_BT!H30,FDV!$B$16:$E$24,IF(CDV_PROY_BT!$N$10="3F",3,4),FALSE),IF($D$10="ACS",VLOOKUP(CDV_PROY_BT!H30,FDV!$B$10:$E$15,IF(CDV_PROY_BT!$N$10="3F",3,4),FALSE),IF($D$10="5005 (PREENSAMBLADO)",VLOOKUP(CDV_PROY_BT!H30,FDV!$B$4:$E$9,IF(CDV_PROY_BT!$N$10="3F",3,4),FALSE),VLOOKUP(CDV_PROY_BT!H30,FDV!$B$25:$E$30,IF(CDV_PROY_BT!$N$10="3F",3,4),FALSE)))))</f>
        <v>412</v>
      </c>
      <c r="K30" s="63">
        <f t="shared" si="0"/>
        <v>101</v>
      </c>
      <c r="L30" s="62">
        <f t="shared" si="2"/>
        <v>0.25</v>
      </c>
      <c r="M30" s="62">
        <f t="shared" si="3"/>
        <v>0.94</v>
      </c>
      <c r="N30" s="155"/>
      <c r="U30" s="138">
        <f t="shared" si="4"/>
        <v>11</v>
      </c>
      <c r="V30" s="138">
        <f t="shared" si="5"/>
        <v>11</v>
      </c>
    </row>
    <row r="31" spans="1:22" ht="15">
      <c r="A31" s="171" t="s">
        <v>146</v>
      </c>
      <c r="B31" s="172" t="s">
        <v>132</v>
      </c>
      <c r="C31" s="173">
        <v>29</v>
      </c>
      <c r="D31" s="173">
        <v>3</v>
      </c>
      <c r="E31" s="170">
        <f>4*90</f>
        <v>360</v>
      </c>
      <c r="F31" s="58">
        <f>IF($N$8="","",IF($N$8="INDUSTRIAL",IF(OR($D$6="",$D$12=""),"",IF(OR(D31&gt;$D$13,E31&gt;$D$14),"Rev. Total. abona.",IF(D31="",IF(E31="","",E31/(0.9*1000)),IF(OR($D$6="SAN CRISTOBAL",$D$6="FLOREANA"),VLOOKUP(D31,'Estratos SCY - FLO'!$A$4:$M$108,IF($D$12="A1",2,IF($D$12="A",5,IF($D$12="B",8,11))))+E31/(0.92*1000),VLOOKUP(D31,'Estratos SCX - ISA'!$A$3:$M$107,IF($D$12="A1",2,IF($D$12="A",5,IF($D$12="B",8,11))))+E31/(0.92*1000))))),IF(OR($D$6="",$D$12=""),"",IF(OR(D31&gt;$D$13,E31&gt;$D$14),"Rev. Total. abona.",IF(D31="",IF(E31="","",E31/(0.92*1000)),IF(OR($D$6="SAN CRISTOBAL",$D$6="FLOREANA"),VLOOKUP(D31,'Estratos SCY - FLO'!$O$4:$S$108,IF($D$12="A1",2,IF($D$12="A",3,IF($D$12="B",4,5))))+E31/(0.92*1000),VLOOKUP(D31,'Estratos SCX - ISA'!$O$4:$S$108,IF($D$12="A1",2,IF($D$12="A",3,IF($D$12="B",4,5))))+E31/(0.92*1000)))))))</f>
        <v>9.039702289957619</v>
      </c>
      <c r="G31" s="59">
        <f t="shared" si="1"/>
        <v>1</v>
      </c>
      <c r="H31" s="183" t="s">
        <v>0</v>
      </c>
      <c r="I31" s="183">
        <v>2</v>
      </c>
      <c r="J31" s="59">
        <f>IF(OR(H31="",$D$10="",$N$10=""),"",IF($D$10="COBRE",VLOOKUP(CDV_PROY_BT!H31,FDV!$B$16:$E$24,IF(CDV_PROY_BT!$N$10="3F",3,4),FALSE),IF($D$10="ACS",VLOOKUP(CDV_PROY_BT!H31,FDV!$B$10:$E$15,IF(CDV_PROY_BT!$N$10="3F",3,4),FALSE),IF($D$10="5005 (PREENSAMBLADO)",VLOOKUP(CDV_PROY_BT!H31,FDV!$B$4:$E$9,IF(CDV_PROY_BT!$N$10="3F",3,4),FALSE),VLOOKUP(CDV_PROY_BT!H31,FDV!$B$25:$E$30,IF(CDV_PROY_BT!$N$10="3F",3,4),FALSE)))))</f>
        <v>412</v>
      </c>
      <c r="K31" s="63">
        <f t="shared" si="0"/>
        <v>262</v>
      </c>
      <c r="L31" s="62">
        <f t="shared" si="2"/>
        <v>0.64</v>
      </c>
      <c r="M31" s="62">
        <f t="shared" si="3"/>
        <v>1.58</v>
      </c>
      <c r="N31" s="155"/>
      <c r="U31" s="138">
        <f t="shared" si="4"/>
        <v>29</v>
      </c>
      <c r="V31" s="138">
        <f t="shared" si="5"/>
        <v>29</v>
      </c>
    </row>
    <row r="32" spans="1:22" ht="15">
      <c r="A32" s="167" t="s">
        <v>132</v>
      </c>
      <c r="B32" s="168" t="s">
        <v>220</v>
      </c>
      <c r="C32" s="169">
        <v>13</v>
      </c>
      <c r="D32" s="169">
        <v>3</v>
      </c>
      <c r="E32" s="174">
        <v>270</v>
      </c>
      <c r="F32" s="58">
        <f>IF($N$8="","",IF($N$8="INDUSTRIAL",IF(OR($D$6="",$D$12=""),"",IF(OR(D32&gt;$D$13,E32&gt;$D$14),"Rev. Total. abona.",IF(D32="",IF(E32="","",E32/(0.9*1000)),IF(OR($D$6="SAN CRISTOBAL",$D$6="FLOREANA"),VLOOKUP(D32,'Estratos SCY - FLO'!$A$4:$M$108,IF($D$12="A1",2,IF($D$12="A",5,IF($D$12="B",8,11))))+E32/(0.92*1000),VLOOKUP(D32,'Estratos SCX - ISA'!$A$3:$M$107,IF($D$12="A1",2,IF($D$12="A",5,IF($D$12="B",8,11))))+E32/(0.92*1000))))),IF(OR($D$6="",$D$12=""),"",IF(OR(D32&gt;$D$13,E32&gt;$D$14),"Rev. Total. abona.",IF(D32="",IF(E32="","",E32/(0.92*1000)),IF(OR($D$6="SAN CRISTOBAL",$D$6="FLOREANA"),VLOOKUP(D32,'Estratos SCY - FLO'!$O$4:$S$108,IF($D$12="A1",2,IF($D$12="A",3,IF($D$12="B",4,5))))+E32/(0.92*1000),VLOOKUP(D32,'Estratos SCX - ISA'!$O$4:$S$108,IF($D$12="A1",2,IF($D$12="A",3,IF($D$12="B",4,5))))+E32/(0.92*1000)))))))</f>
        <v>8.941876203001096</v>
      </c>
      <c r="G32" s="59">
        <f t="shared" si="1"/>
        <v>1</v>
      </c>
      <c r="H32" s="183" t="s">
        <v>0</v>
      </c>
      <c r="I32" s="183">
        <v>2</v>
      </c>
      <c r="J32" s="59">
        <f>IF(OR(H32="",$D$10="",$N$10=""),"",IF($D$10="COBRE",VLOOKUP(CDV_PROY_BT!H32,FDV!$B$16:$E$24,IF(CDV_PROY_BT!$N$10="3F",3,4),FALSE),IF($D$10="ACS",VLOOKUP(CDV_PROY_BT!H32,FDV!$B$10:$E$15,IF(CDV_PROY_BT!$N$10="3F",3,4),FALSE),IF($D$10="5005 (PREENSAMBLADO)",VLOOKUP(CDV_PROY_BT!H32,FDV!$B$4:$E$9,IF(CDV_PROY_BT!$N$10="3F",3,4),FALSE),VLOOKUP(CDV_PROY_BT!H32,FDV!$B$25:$E$30,IF(CDV_PROY_BT!$N$10="3F",3,4),FALSE)))))</f>
        <v>412</v>
      </c>
      <c r="K32" s="63">
        <f t="shared" si="0"/>
        <v>116</v>
      </c>
      <c r="L32" s="62">
        <f t="shared" si="2"/>
        <v>0.28</v>
      </c>
      <c r="M32" s="62">
        <f t="shared" si="3"/>
        <v>1.86</v>
      </c>
      <c r="N32" s="155"/>
      <c r="U32" s="138">
        <f t="shared" si="4"/>
        <v>13</v>
      </c>
      <c r="V32" s="138">
        <f t="shared" si="5"/>
        <v>13</v>
      </c>
    </row>
    <row r="33" spans="1:22" ht="15">
      <c r="A33" s="175" t="s">
        <v>220</v>
      </c>
      <c r="B33" s="176" t="s">
        <v>130</v>
      </c>
      <c r="C33" s="177">
        <v>14</v>
      </c>
      <c r="D33" s="177"/>
      <c r="E33" s="170">
        <v>90</v>
      </c>
      <c r="F33" s="58">
        <f>IF($N$8="","",IF($N$8="INDUSTRIAL",IF(OR($D$6="",$D$12=""),"",IF(OR(D33&gt;$D$13,E33&gt;$D$14),"Rev. Total. abona.",IF(D33="",IF(E33="","",E33/(0.9*1000)),IF(OR($D$6="SAN CRISTOBAL",$D$6="FLOREANA"),VLOOKUP(D33,'Estratos SCY - FLO'!$A$4:$M$108,IF($D$12="A1",2,IF($D$12="A",5,IF($D$12="B",8,11))))+E33/(0.92*1000),VLOOKUP(D33,'Estratos SCX - ISA'!$A$3:$M$107,IF($D$12="A1",2,IF($D$12="A",5,IF($D$12="B",8,11))))+E33/(0.92*1000))))),IF(OR($D$6="",$D$12=""),"",IF(OR(D33&gt;$D$13,E33&gt;$D$14),"Rev. Total. abona.",IF(D33="",IF(E33="","",E33/(0.92*1000)),IF(OR($D$6="SAN CRISTOBAL",$D$6="FLOREANA"),VLOOKUP(D33,'Estratos SCY - FLO'!$O$4:$S$108,IF($D$12="A1",2,IF($D$12="A",3,IF($D$12="B",4,5))))+E33/(0.92*1000),VLOOKUP(D33,'Estratos SCX - ISA'!$O$4:$S$108,IF($D$12="A1",2,IF($D$12="A",3,IF($D$12="B",4,5))))+E33/(0.92*1000)))))))</f>
        <v>0.09782608695652174</v>
      </c>
      <c r="G33" s="59">
        <f t="shared" si="1"/>
        <v>1</v>
      </c>
      <c r="H33" s="183" t="s">
        <v>0</v>
      </c>
      <c r="I33" s="183">
        <v>2</v>
      </c>
      <c r="J33" s="59">
        <f>IF(OR(H33="",$D$10="",$N$10=""),"",IF($D$10="COBRE",VLOOKUP(CDV_PROY_BT!H33,FDV!$B$16:$E$24,IF(CDV_PROY_BT!$N$10="3F",3,4),FALSE),IF($D$10="ACS",VLOOKUP(CDV_PROY_BT!H33,FDV!$B$10:$E$15,IF(CDV_PROY_BT!$N$10="3F",3,4),FALSE),IF($D$10="5005 (PREENSAMBLADO)",VLOOKUP(CDV_PROY_BT!H33,FDV!$B$4:$E$9,IF(CDV_PROY_BT!$N$10="3F",3,4),FALSE),VLOOKUP(CDV_PROY_BT!H33,FDV!$B$25:$E$30,IF(CDV_PROY_BT!$N$10="3F",3,4),FALSE)))))</f>
        <v>412</v>
      </c>
      <c r="K33" s="63">
        <f t="shared" si="0"/>
        <v>1</v>
      </c>
      <c r="L33" s="62">
        <f t="shared" si="2"/>
        <v>0</v>
      </c>
      <c r="M33" s="62">
        <f t="shared" si="3"/>
        <v>1.86</v>
      </c>
      <c r="N33" s="155">
        <f>+M33</f>
        <v>1.86</v>
      </c>
      <c r="U33" s="138">
        <f t="shared" si="4"/>
        <v>14</v>
      </c>
      <c r="V33" s="138">
        <f t="shared" si="5"/>
        <v>14</v>
      </c>
    </row>
    <row r="34" spans="1:22" ht="15">
      <c r="A34" s="167" t="s">
        <v>220</v>
      </c>
      <c r="B34" s="168" t="s">
        <v>131</v>
      </c>
      <c r="C34" s="169">
        <v>12</v>
      </c>
      <c r="D34" s="169"/>
      <c r="E34" s="170">
        <v>0</v>
      </c>
      <c r="F34" s="58">
        <f>IF($N$8="","",IF($N$8="INDUSTRIAL",IF(OR($D$6="",$D$12=""),"",IF(OR(D34&gt;$D$13,E34&gt;$D$14),"Rev. Total. abona.",IF(D34="",IF(E34="","",E34/(0.9*1000)),IF(OR($D$6="SAN CRISTOBAL",$D$6="FLOREANA"),VLOOKUP(D34,'Estratos SCY - FLO'!$A$4:$M$108,IF($D$12="A1",2,IF($D$12="A",5,IF($D$12="B",8,11))))+E34/(0.92*1000),VLOOKUP(D34,'Estratos SCX - ISA'!$A$3:$M$107,IF($D$12="A1",2,IF($D$12="A",5,IF($D$12="B",8,11))))+E34/(0.92*1000))))),IF(OR($D$6="",$D$12=""),"",IF(OR(D34&gt;$D$13,E34&gt;$D$14),"Rev. Total. abona.",IF(D34="",IF(E34="","",E34/(0.92*1000)),IF(OR($D$6="SAN CRISTOBAL",$D$6="FLOREANA"),VLOOKUP(D34,'Estratos SCY - FLO'!$O$4:$S$108,IF($D$12="A1",2,IF($D$12="A",3,IF($D$12="B",4,5))))+E34/(0.92*1000),VLOOKUP(D34,'Estratos SCX - ISA'!$O$4:$S$108,IF($D$12="A1",2,IF($D$12="A",3,IF($D$12="B",4,5))))+E34/(0.92*1000)))))))</f>
        <v>0</v>
      </c>
      <c r="G34" s="59">
        <f t="shared" si="1"/>
        <v>1</v>
      </c>
      <c r="H34" s="183" t="s">
        <v>0</v>
      </c>
      <c r="I34" s="183">
        <v>2</v>
      </c>
      <c r="J34" s="59">
        <f>IF(OR(H34="",$D$10="",$N$10=""),"",IF($D$10="COBRE",VLOOKUP(CDV_PROY_BT!H34,FDV!$B$16:$E$24,IF(CDV_PROY_BT!$N$10="3F",3,4),FALSE),IF($D$10="ACS",VLOOKUP(CDV_PROY_BT!H34,FDV!$B$10:$E$15,IF(CDV_PROY_BT!$N$10="3F",3,4),FALSE),IF($D$10="5005 (PREENSAMBLADO)",VLOOKUP(CDV_PROY_BT!H34,FDV!$B$4:$E$9,IF(CDV_PROY_BT!$N$10="3F",3,4),FALSE),VLOOKUP(CDV_PROY_BT!H34,FDV!$B$25:$E$30,IF(CDV_PROY_BT!$N$10="3F",3,4),FALSE)))))</f>
        <v>412</v>
      </c>
      <c r="K34" s="63">
        <f t="shared" si="0"/>
        <v>0</v>
      </c>
      <c r="L34" s="62">
        <f t="shared" si="2"/>
        <v>0</v>
      </c>
      <c r="M34" s="62">
        <f t="shared" si="3"/>
        <v>1.86</v>
      </c>
      <c r="N34" s="155">
        <f>+M34</f>
        <v>1.86</v>
      </c>
      <c r="U34" s="138">
        <f t="shared" si="4"/>
        <v>12</v>
      </c>
      <c r="V34" s="138">
        <f t="shared" si="5"/>
        <v>12</v>
      </c>
    </row>
    <row r="35" spans="1:22" ht="15">
      <c r="A35" s="167" t="s">
        <v>220</v>
      </c>
      <c r="B35" s="168" t="s">
        <v>214</v>
      </c>
      <c r="C35" s="169">
        <v>34</v>
      </c>
      <c r="D35" s="169">
        <v>2</v>
      </c>
      <c r="E35" s="170">
        <v>180</v>
      </c>
      <c r="F35" s="58">
        <f>IF($N$8="","",IF($N$8="INDUSTRIAL",IF(OR($D$6="",$D$12=""),"",IF(OR(D35&gt;$D$13,E35&gt;$D$14),"Rev. Total. abona.",IF(D35="",IF(E35="","",E35/(0.9*1000)),IF(OR($D$6="SAN CRISTOBAL",$D$6="FLOREANA"),VLOOKUP(D35,'Estratos SCY - FLO'!$A$4:$M$108,IF($D$12="A1",2,IF($D$12="A",5,IF($D$12="B",8,11))))+E35/(0.92*1000),VLOOKUP(D35,'Estratos SCX - ISA'!$A$3:$M$107,IF($D$12="A1",2,IF($D$12="A",5,IF($D$12="B",8,11))))+E35/(0.92*1000))))),IF(OR($D$6="",$D$12=""),"",IF(OR(D35&gt;$D$13,E35&gt;$D$14),"Rev. Total. abona.",IF(D35="",IF(E35="","",E35/(0.92*1000)),IF(OR($D$6="SAN CRISTOBAL",$D$6="FLOREANA"),VLOOKUP(D35,'Estratos SCY - FLO'!$O$4:$S$108,IF($D$12="A1",2,IF($D$12="A",3,IF($D$12="B",4,5))))+E35/(0.92*1000),VLOOKUP(D35,'Estratos SCX - ISA'!$O$4:$S$108,IF($D$12="A1",2,IF($D$12="A",3,IF($D$12="B",4,5))))+E35/(0.92*1000)))))))</f>
        <v>6.660657868098465</v>
      </c>
      <c r="G35" s="59">
        <f t="shared" si="1"/>
        <v>1</v>
      </c>
      <c r="H35" s="183" t="s">
        <v>0</v>
      </c>
      <c r="I35" s="183">
        <v>2</v>
      </c>
      <c r="J35" s="59">
        <f>IF(OR(H35="",$D$10="",$N$10=""),"",IF($D$10="COBRE",VLOOKUP(CDV_PROY_BT!H35,FDV!$B$16:$E$24,IF(CDV_PROY_BT!$N$10="3F",3,4),FALSE),IF($D$10="ACS",VLOOKUP(CDV_PROY_BT!H35,FDV!$B$10:$E$15,IF(CDV_PROY_BT!$N$10="3F",3,4),FALSE),IF($D$10="5005 (PREENSAMBLADO)",VLOOKUP(CDV_PROY_BT!H35,FDV!$B$4:$E$9,IF(CDV_PROY_BT!$N$10="3F",3,4),FALSE),VLOOKUP(CDV_PROY_BT!H35,FDV!$B$25:$E$30,IF(CDV_PROY_BT!$N$10="3F",3,4),FALSE)))))</f>
        <v>412</v>
      </c>
      <c r="K35" s="63">
        <f t="shared" si="0"/>
        <v>226</v>
      </c>
      <c r="L35" s="62">
        <f t="shared" si="2"/>
        <v>0.55</v>
      </c>
      <c r="M35" s="62">
        <f t="shared" si="3"/>
        <v>2.41</v>
      </c>
      <c r="N35" s="155"/>
      <c r="U35" s="138">
        <f t="shared" si="4"/>
        <v>34</v>
      </c>
      <c r="V35" s="138">
        <f t="shared" si="5"/>
        <v>34</v>
      </c>
    </row>
    <row r="36" spans="1:22" ht="15">
      <c r="A36" s="167" t="s">
        <v>214</v>
      </c>
      <c r="B36" s="168" t="s">
        <v>129</v>
      </c>
      <c r="C36" s="169">
        <v>37</v>
      </c>
      <c r="D36" s="169">
        <v>2</v>
      </c>
      <c r="E36" s="170">
        <v>90</v>
      </c>
      <c r="F36" s="58">
        <f>IF($N$8="","",IF($N$8="INDUSTRIAL",IF(OR($D$6="",$D$12=""),"",IF(OR(D36&gt;$D$13,E36&gt;$D$14),"Rev. Total. abona.",IF(D36="",IF(E36="","",E36/(0.9*1000)),IF(OR($D$6="SAN CRISTOBAL",$D$6="FLOREANA"),VLOOKUP(D36,'Estratos SCY - FLO'!$A$4:$M$108,IF($D$12="A1",2,IF($D$12="A",5,IF($D$12="B",8,11))))+E36/(0.92*1000),VLOOKUP(D36,'Estratos SCX - ISA'!$A$3:$M$107,IF($D$12="A1",2,IF($D$12="A",5,IF($D$12="B",8,11))))+E36/(0.92*1000))))),IF(OR($D$6="",$D$12=""),"",IF(OR(D36&gt;$D$13,E36&gt;$D$14),"Rev. Total. abona.",IF(D36="",IF(E36="","",E36/(0.92*1000)),IF(OR($D$6="SAN CRISTOBAL",$D$6="FLOREANA"),VLOOKUP(D36,'Estratos SCY - FLO'!$O$4:$S$108,IF($D$12="A1",2,IF($D$12="A",3,IF($D$12="B",4,5))))+E36/(0.92*1000),VLOOKUP(D36,'Estratos SCX - ISA'!$O$4:$S$108,IF($D$12="A1",2,IF($D$12="A",3,IF($D$12="B",4,5))))+E36/(0.92*1000)))))))</f>
        <v>6.562831781141942</v>
      </c>
      <c r="G36" s="59">
        <f t="shared" si="1"/>
        <v>1</v>
      </c>
      <c r="H36" s="183" t="s">
        <v>0</v>
      </c>
      <c r="I36" s="183">
        <v>2</v>
      </c>
      <c r="J36" s="59">
        <f>IF(OR(H36="",$D$10="",$N$10=""),"",IF($D$10="COBRE",VLOOKUP(CDV_PROY_BT!H36,FDV!$B$16:$E$24,IF(CDV_PROY_BT!$N$10="3F",3,4),FALSE),IF($D$10="ACS",VLOOKUP(CDV_PROY_BT!H36,FDV!$B$10:$E$15,IF(CDV_PROY_BT!$N$10="3F",3,4),FALSE),IF($D$10="5005 (PREENSAMBLADO)",VLOOKUP(CDV_PROY_BT!H36,FDV!$B$4:$E$9,IF(CDV_PROY_BT!$N$10="3F",3,4),FALSE),VLOOKUP(CDV_PROY_BT!H36,FDV!$B$25:$E$30,IF(CDV_PROY_BT!$N$10="3F",3,4),FALSE)))))</f>
        <v>412</v>
      </c>
      <c r="K36" s="63">
        <f t="shared" si="0"/>
        <v>243</v>
      </c>
      <c r="L36" s="62">
        <f t="shared" si="2"/>
        <v>0.59</v>
      </c>
      <c r="M36" s="62">
        <f t="shared" si="3"/>
        <v>3</v>
      </c>
      <c r="N36" s="155"/>
      <c r="U36" s="138">
        <f t="shared" si="4"/>
        <v>37</v>
      </c>
      <c r="V36" s="138">
        <f t="shared" si="5"/>
        <v>37</v>
      </c>
    </row>
    <row r="37" spans="1:22" ht="15">
      <c r="A37" s="167" t="s">
        <v>129</v>
      </c>
      <c r="B37" s="168" t="s">
        <v>213</v>
      </c>
      <c r="C37" s="169">
        <v>28</v>
      </c>
      <c r="D37" s="169">
        <v>2</v>
      </c>
      <c r="E37" s="170">
        <v>90</v>
      </c>
      <c r="F37" s="58">
        <f>IF($N$8="","",IF($N$8="INDUSTRIAL",IF(OR($D$6="",$D$12=""),"",IF(OR(D37&gt;$D$13,E37&gt;$D$14),"Rev. Total. abona.",IF(D37="",IF(E37="","",E37/(0.9*1000)),IF(OR($D$6="SAN CRISTOBAL",$D$6="FLOREANA"),VLOOKUP(D37,'Estratos SCY - FLO'!$A$4:$M$108,IF($D$12="A1",2,IF($D$12="A",5,IF($D$12="B",8,11))))+E37/(0.92*1000),VLOOKUP(D37,'Estratos SCX - ISA'!$A$3:$M$107,IF($D$12="A1",2,IF($D$12="A",5,IF($D$12="B",8,11))))+E37/(0.92*1000))))),IF(OR($D$6="",$D$12=""),"",IF(OR(D37&gt;$D$13,E37&gt;$D$14),"Rev. Total. abona.",IF(D37="",IF(E37="","",E37/(0.92*1000)),IF(OR($D$6="SAN CRISTOBAL",$D$6="FLOREANA"),VLOOKUP(D37,'Estratos SCY - FLO'!$O$4:$S$108,IF($D$12="A1",2,IF($D$12="A",3,IF($D$12="B",4,5))))+E37/(0.92*1000),VLOOKUP(D37,'Estratos SCX - ISA'!$O$4:$S$108,IF($D$12="A1",2,IF($D$12="A",3,IF($D$12="B",4,5))))+E37/(0.92*1000)))))))</f>
        <v>6.562831781141942</v>
      </c>
      <c r="G37" s="59">
        <f t="shared" si="1"/>
        <v>1</v>
      </c>
      <c r="H37" s="183" t="s">
        <v>0</v>
      </c>
      <c r="I37" s="183">
        <v>2</v>
      </c>
      <c r="J37" s="59">
        <f>IF(OR(H37="",$D$10="",$N$10=""),"",IF($D$10="COBRE",VLOOKUP(CDV_PROY_BT!H37,FDV!$B$16:$E$24,IF(CDV_PROY_BT!$N$10="3F",3,4),FALSE),IF($D$10="ACS",VLOOKUP(CDV_PROY_BT!H37,FDV!$B$10:$E$15,IF(CDV_PROY_BT!$N$10="3F",3,4),FALSE),IF($D$10="5005 (PREENSAMBLADO)",VLOOKUP(CDV_PROY_BT!H37,FDV!$B$4:$E$9,IF(CDV_PROY_BT!$N$10="3F",3,4),FALSE),VLOOKUP(CDV_PROY_BT!H37,FDV!$B$25:$E$30,IF(CDV_PROY_BT!$N$10="3F",3,4),FALSE)))))</f>
        <v>412</v>
      </c>
      <c r="K37" s="63">
        <f t="shared" si="0"/>
        <v>184</v>
      </c>
      <c r="L37" s="62">
        <f t="shared" si="2"/>
        <v>0.45</v>
      </c>
      <c r="M37" s="62">
        <f t="shared" si="3"/>
        <v>3.45</v>
      </c>
      <c r="N37" s="155">
        <f>+M37</f>
        <v>3.45</v>
      </c>
      <c r="U37" s="138">
        <f t="shared" si="4"/>
        <v>28</v>
      </c>
      <c r="V37" s="138">
        <f t="shared" si="5"/>
        <v>28</v>
      </c>
    </row>
    <row r="38" spans="1:22" ht="15">
      <c r="A38" s="167"/>
      <c r="B38" s="168"/>
      <c r="C38" s="169"/>
      <c r="D38" s="169"/>
      <c r="E38" s="170"/>
      <c r="F38" s="58" t="str">
        <f>IF($N$8="","",IF($N$8="INDUSTRIAL",IF(OR($D$6="",$D$12=""),"",IF(OR(D38&gt;$D$13,E38&gt;$D$14),"Rev. Total. abona.",IF(D38="",IF(E38="","",E38/(0.9*1000)),IF(OR($D$6="SAN CRISTOBAL",$D$6="FLOREANA"),VLOOKUP(D38,'Estratos SCY - FLO'!$A$4:$M$108,IF($D$12="A1",2,IF($D$12="A",5,IF($D$12="B",8,11))))+E38/(0.92*1000),VLOOKUP(D38,'Estratos SCX - ISA'!$A$3:$M$107,IF($D$12="A1",2,IF($D$12="A",5,IF($D$12="B",8,11))))+E38/(0.92*1000))))),IF(OR($D$6="",$D$12=""),"",IF(OR(D38&gt;$D$13,E38&gt;$D$14),"Rev. Total. abona.",IF(D38="",IF(E38="","",E38/(0.92*1000)),IF(OR($D$6="SAN CRISTOBAL",$D$6="FLOREANA"),VLOOKUP(D38,'Estratos SCY - FLO'!$O$4:$S$108,IF($D$12="A1",2,IF($D$12="A",3,IF($D$12="B",4,5))))+E38/(0.92*1000),VLOOKUP(D38,'Estratos SCX - ISA'!$O$4:$S$108,IF($D$12="A1",2,IF($D$12="A",3,IF($D$12="B",4,5))))+E38/(0.92*1000)))))))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IF(OR(H38="",$D$10="",$N$10=""),"",IF($D$10="COBRE",VLOOKUP(CDV_PROY_BT!H38,FDV!$B$16:$E$24,IF(CDV_PROY_BT!$N$10="3F",3,4),FALSE),IF($D$10="ACS",VLOOKUP(CDV_PROY_BT!H38,FDV!$B$10:$E$15,IF(CDV_PROY_BT!$N$10="3F",3,4),FALSE),IF($D$10="5005 (PREENSAMBLADO)",VLOOKUP(CDV_PROY_BT!H38,FDV!$B$4:$E$9,IF(CDV_PROY_BT!$N$10="3F",3,4),FALSE),VLOOKUP(CDV_PROY_BT!H38,FDV!$B$25:$E$30,IF(CDV_PROY_BT!$N$10="3F",3,4),FALSE)))))</f>
        <v/>
      </c>
      <c r="K38" s="63" t="str">
        <f t="shared" si="0"/>
        <v/>
      </c>
      <c r="L38" s="62" t="str">
        <f t="shared" si="2"/>
        <v/>
      </c>
      <c r="M38" s="62" t="str">
        <f t="shared" si="3"/>
        <v/>
      </c>
      <c r="N38" s="155"/>
      <c r="U38" s="138">
        <f t="shared" si="4"/>
        <v>0</v>
      </c>
      <c r="V38" s="138">
        <f t="shared" si="5"/>
        <v>0</v>
      </c>
    </row>
    <row r="39" spans="1:22" ht="15">
      <c r="A39" s="167"/>
      <c r="B39" s="168"/>
      <c r="C39" s="169"/>
      <c r="D39" s="169"/>
      <c r="E39" s="170"/>
      <c r="F39" s="58" t="str">
        <f>IF($N$8="","",IF($N$8="INDUSTRIAL",IF(OR($D$6="",$D$12=""),"",IF(OR(D39&gt;$D$13,E39&gt;$D$14),"Rev. Total. abona.",IF(D39="",IF(E39="","",E39/(0.9*1000)),IF(OR($D$6="SAN CRISTOBAL",$D$6="FLOREANA"),VLOOKUP(D39,'Estratos SCY - FLO'!$A$4:$M$108,IF($D$12="A1",2,IF($D$12="A",5,IF($D$12="B",8,11))))+E39/(0.92*1000),VLOOKUP(D39,'Estratos SCX - ISA'!$A$3:$M$107,IF($D$12="A1",2,IF($D$12="A",5,IF($D$12="B",8,11))))+E39/(0.92*1000))))),IF(OR($D$6="",$D$12=""),"",IF(OR(D39&gt;$D$13,E39&gt;$D$14),"Rev. Total. abona.",IF(D39="",IF(E39="","",E39/(0.92*1000)),IF(OR($D$6="SAN CRISTOBAL",$D$6="FLOREANA"),VLOOKUP(D39,'Estratos SCY - FLO'!$O$4:$S$108,IF($D$12="A1",2,IF($D$12="A",3,IF($D$12="B",4,5))))+E39/(0.92*1000),VLOOKUP(D39,'Estratos SCX - ISA'!$O$4:$S$108,IF($D$12="A1",2,IF($D$12="A",3,IF($D$12="B",4,5))))+E39/(0.92*1000)))))))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IF(OR(H39="",$D$10="",$N$10=""),"",IF($D$10="COBRE",VLOOKUP(CDV_PROY_BT!H39,FDV!$B$16:$E$24,IF(CDV_PROY_BT!$N$10="3F",3,4),FALSE),IF($D$10="ACS",VLOOKUP(CDV_PROY_BT!H39,FDV!$B$10:$E$15,IF(CDV_PROY_BT!$N$10="3F",3,4),FALSE),IF($D$10="5005 (PREENSAMBLADO)",VLOOKUP(CDV_PROY_BT!H39,FDV!$B$4:$E$9,IF(CDV_PROY_BT!$N$10="3F",3,4),FALSE),VLOOKUP(CDV_PROY_BT!H39,FDV!$B$25:$E$30,IF(CDV_PROY_BT!$N$10="3F",3,4),FALSE)))))</f>
        <v/>
      </c>
      <c r="K39" s="63" t="str">
        <f t="shared" si="0"/>
        <v/>
      </c>
      <c r="L39" s="62" t="str">
        <f t="shared" si="2"/>
        <v/>
      </c>
      <c r="M39" s="62" t="str">
        <f t="shared" si="3"/>
        <v/>
      </c>
      <c r="N39" s="155"/>
      <c r="U39" s="138">
        <f t="shared" si="4"/>
        <v>0</v>
      </c>
      <c r="V39" s="138">
        <f t="shared" si="5"/>
        <v>0</v>
      </c>
    </row>
    <row r="40" spans="1:22" ht="15">
      <c r="A40" s="167"/>
      <c r="B40" s="168"/>
      <c r="C40" s="169"/>
      <c r="D40" s="169"/>
      <c r="E40" s="170"/>
      <c r="F40" s="58" t="str">
        <f>IF($N$8="","",IF($N$8="INDUSTRIAL",IF(OR($D$6="",$D$12=""),"",IF(OR(D40&gt;$D$13,E40&gt;$D$14),"Rev. Total. abona.",IF(D40="",IF(E40="","",E40/(0.9*1000)),IF(OR($D$6="SAN CRISTOBAL",$D$6="FLOREANA"),VLOOKUP(D40,'Estratos SCY - FLO'!$A$4:$M$108,IF($D$12="A1",2,IF($D$12="A",5,IF($D$12="B",8,11))))+E40/(0.92*1000),VLOOKUP(D40,'Estratos SCX - ISA'!$A$3:$M$107,IF($D$12="A1",2,IF($D$12="A",5,IF($D$12="B",8,11))))+E40/(0.92*1000))))),IF(OR($D$6="",$D$12=""),"",IF(OR(D40&gt;$D$13,E40&gt;$D$14),"Rev. Total. abona.",IF(D40="",IF(E40="","",E40/(0.92*1000)),IF(OR($D$6="SAN CRISTOBAL",$D$6="FLOREANA"),VLOOKUP(D40,'Estratos SCY - FLO'!$O$4:$S$108,IF($D$12="A1",2,IF($D$12="A",3,IF($D$12="B",4,5))))+E40/(0.92*1000),VLOOKUP(D40,'Estratos SCX - ISA'!$O$4:$S$108,IF($D$12="A1",2,IF($D$12="A",3,IF($D$12="B",4,5))))+E40/(0.92*1000)))))))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IF(OR(H40="",$D$10="",$N$10=""),"",IF($D$10="COBRE",VLOOKUP(CDV_PROY_BT!H40,FDV!$B$16:$E$24,IF(CDV_PROY_BT!$N$10="3F",3,4),FALSE),IF($D$10="ACS",VLOOKUP(CDV_PROY_BT!H40,FDV!$B$10:$E$15,IF(CDV_PROY_BT!$N$10="3F",3,4),FALSE),IF($D$10="5005 (PREENSAMBLADO)",VLOOKUP(CDV_PROY_BT!H40,FDV!$B$4:$E$9,IF(CDV_PROY_BT!$N$10="3F",3,4),FALSE),VLOOKUP(CDV_PROY_BT!H40,FDV!$B$25:$E$30,IF(CDV_PROY_BT!$N$10="3F",3,4),FALSE)))))</f>
        <v/>
      </c>
      <c r="K40" s="63" t="str">
        <f t="shared" si="0"/>
        <v/>
      </c>
      <c r="L40" s="62" t="str">
        <f t="shared" si="2"/>
        <v/>
      </c>
      <c r="M40" s="62" t="str">
        <f t="shared" si="3"/>
        <v/>
      </c>
      <c r="N40" s="155"/>
      <c r="U40" s="138">
        <f t="shared" si="4"/>
        <v>0</v>
      </c>
      <c r="V40" s="138">
        <f t="shared" si="5"/>
        <v>0</v>
      </c>
    </row>
    <row r="41" spans="1:22" ht="15">
      <c r="A41" s="167"/>
      <c r="B41" s="168"/>
      <c r="C41" s="169"/>
      <c r="D41" s="169"/>
      <c r="E41" s="170"/>
      <c r="F41" s="58" t="str">
        <f>IF($N$8="","",IF($N$8="INDUSTRIAL",IF(OR($D$6="",$D$12=""),"",IF(OR(D41&gt;$D$13,E41&gt;$D$14),"Rev. Total. abona.",IF(D41="",IF(E41="","",E41/(0.9*1000)),IF(OR($D$6="SAN CRISTOBAL",$D$6="FLOREANA"),VLOOKUP(D41,'Estratos SCY - FLO'!$A$4:$M$108,IF($D$12="A1",2,IF($D$12="A",5,IF($D$12="B",8,11))))+E41/(0.92*1000),VLOOKUP(D41,'Estratos SCX - ISA'!$A$3:$M$107,IF($D$12="A1",2,IF($D$12="A",5,IF($D$12="B",8,11))))+E41/(0.92*1000))))),IF(OR($D$6="",$D$12=""),"",IF(OR(D41&gt;$D$13,E41&gt;$D$14),"Rev. Total. abona.",IF(D41="",IF(E41="","",E41/(0.92*1000)),IF(OR($D$6="SAN CRISTOBAL",$D$6="FLOREANA"),VLOOKUP(D41,'Estratos SCY - FLO'!$O$4:$S$108,IF($D$12="A1",2,IF($D$12="A",3,IF($D$12="B",4,5))))+E41/(0.92*1000),VLOOKUP(D41,'Estratos SCX - ISA'!$O$4:$S$108,IF($D$12="A1",2,IF($D$12="A",3,IF($D$12="B",4,5))))+E41/(0.92*1000)))))))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IF(OR(H41="",$D$10="",$N$10=""),"",IF($D$10="COBRE",VLOOKUP(CDV_PROY_BT!H41,FDV!$B$16:$E$24,IF(CDV_PROY_BT!$N$10="3F",3,4),FALSE),IF($D$10="ACS",VLOOKUP(CDV_PROY_BT!H41,FDV!$B$10:$E$15,IF(CDV_PROY_BT!$N$10="3F",3,4),FALSE),IF($D$10="5005 (PREENSAMBLADO)",VLOOKUP(CDV_PROY_BT!H41,FDV!$B$4:$E$9,IF(CDV_PROY_BT!$N$10="3F",3,4),FALSE),VLOOKUP(CDV_PROY_BT!H41,FDV!$B$25:$E$30,IF(CDV_PROY_BT!$N$10="3F",3,4),FALSE)))))</f>
        <v/>
      </c>
      <c r="K41" s="63" t="str">
        <f t="shared" si="0"/>
        <v/>
      </c>
      <c r="L41" s="62" t="str">
        <f t="shared" si="2"/>
        <v/>
      </c>
      <c r="M41" s="62" t="str">
        <f t="shared" si="3"/>
        <v/>
      </c>
      <c r="N41" s="155"/>
      <c r="U41" s="138">
        <f t="shared" si="4"/>
        <v>0</v>
      </c>
      <c r="V41" s="138">
        <f t="shared" si="5"/>
        <v>0</v>
      </c>
    </row>
    <row r="42" spans="1:22" ht="15">
      <c r="A42" s="167"/>
      <c r="B42" s="168"/>
      <c r="C42" s="169"/>
      <c r="D42" s="169"/>
      <c r="E42" s="170"/>
      <c r="F42" s="58" t="str">
        <f>IF($N$8="","",IF($N$8="INDUSTRIAL",IF(OR($D$6="",$D$12=""),"",IF(OR(D42&gt;$D$13,E42&gt;$D$14),"Rev. Total. abona.",IF(D42="",IF(E42="","",E42/(0.9*1000)),IF(OR($D$6="SAN CRISTOBAL",$D$6="FLOREANA"),VLOOKUP(D42,'Estratos SCY - FLO'!$A$4:$M$108,IF($D$12="A1",2,IF($D$12="A",5,IF($D$12="B",8,11))))+E42/(0.92*1000),VLOOKUP(D42,'Estratos SCX - ISA'!$A$3:$M$107,IF($D$12="A1",2,IF($D$12="A",5,IF($D$12="B",8,11))))+E42/(0.92*1000))))),IF(OR($D$6="",$D$12=""),"",IF(OR(D42&gt;$D$13,E42&gt;$D$14),"Rev. Total. abona.",IF(D42="",IF(E42="","",E42/(0.92*1000)),IF(OR($D$6="SAN CRISTOBAL",$D$6="FLOREANA"),VLOOKUP(D42,'Estratos SCY - FLO'!$O$4:$S$108,IF($D$12="A1",2,IF($D$12="A",3,IF($D$12="B",4,5))))+E42/(0.92*1000),VLOOKUP(D42,'Estratos SCX - ISA'!$O$4:$S$108,IF($D$12="A1",2,IF($D$12="A",3,IF($D$12="B",4,5))))+E42/(0.92*1000)))))))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IF(OR(H42="",$D$10="",$N$10=""),"",IF($D$10="COBRE",VLOOKUP(CDV_PROY_BT!H42,FDV!$B$16:$E$24,IF(CDV_PROY_BT!$N$10="3F",3,4),FALSE),IF($D$10="ACS",VLOOKUP(CDV_PROY_BT!H42,FDV!$B$10:$E$15,IF(CDV_PROY_BT!$N$10="3F",3,4),FALSE),IF($D$10="5005 (PREENSAMBLADO)",VLOOKUP(CDV_PROY_BT!H42,FDV!$B$4:$E$9,IF(CDV_PROY_BT!$N$10="3F",3,4),FALSE),VLOOKUP(CDV_PROY_BT!H42,FDV!$B$25:$E$30,IF(CDV_PROY_BT!$N$10="3F",3,4),FALSE)))))</f>
        <v/>
      </c>
      <c r="K42" s="63" t="str">
        <f t="shared" si="0"/>
        <v/>
      </c>
      <c r="L42" s="62" t="str">
        <f t="shared" si="2"/>
        <v/>
      </c>
      <c r="M42" s="62" t="str">
        <f t="shared" si="3"/>
        <v/>
      </c>
      <c r="N42" s="155"/>
      <c r="U42" s="138">
        <f t="shared" si="4"/>
        <v>0</v>
      </c>
      <c r="V42" s="138">
        <f t="shared" si="5"/>
        <v>0</v>
      </c>
    </row>
    <row r="43" spans="1:22" ht="15">
      <c r="A43" s="167"/>
      <c r="B43" s="168"/>
      <c r="C43" s="169"/>
      <c r="D43" s="169"/>
      <c r="E43" s="170"/>
      <c r="F43" s="58" t="str">
        <f>IF($N$8="","",IF($N$8="INDUSTRIAL",IF(OR($D$6="",$D$12=""),"",IF(OR(D43&gt;$D$13,E43&gt;$D$14),"Rev. Total. abona.",IF(D43="",IF(E43="","",E43/(0.9*1000)),IF(OR($D$6="SAN CRISTOBAL",$D$6="FLOREANA"),VLOOKUP(D43,'Estratos SCY - FLO'!$A$4:$M$108,IF($D$12="A1",2,IF($D$12="A",5,IF($D$12="B",8,11))))+E43/(0.92*1000),VLOOKUP(D43,'Estratos SCX - ISA'!$A$3:$M$107,IF($D$12="A1",2,IF($D$12="A",5,IF($D$12="B",8,11))))+E43/(0.92*1000))))),IF(OR($D$6="",$D$12=""),"",IF(OR(D43&gt;$D$13,E43&gt;$D$14),"Rev. Total. abona.",IF(D43="",IF(E43="","",E43/(0.92*1000)),IF(OR($D$6="SAN CRISTOBAL",$D$6="FLOREANA"),VLOOKUP(D43,'Estratos SCY - FLO'!$O$4:$S$108,IF($D$12="A1",2,IF($D$12="A",3,IF($D$12="B",4,5))))+E43/(0.92*1000),VLOOKUP(D43,'Estratos SCX - ISA'!$O$4:$S$108,IF($D$12="A1",2,IF($D$12="A",3,IF($D$12="B",4,5))))+E43/(0.92*1000)))))))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IF(OR(H43="",$D$10="",$N$10=""),"",IF($D$10="COBRE",VLOOKUP(CDV_PROY_BT!H43,FDV!$B$16:$E$24,IF(CDV_PROY_BT!$N$10="3F",3,4),FALSE),IF($D$10="ACS",VLOOKUP(CDV_PROY_BT!H43,FDV!$B$10:$E$15,IF(CDV_PROY_BT!$N$10="3F",3,4),FALSE),IF($D$10="5005 (PREENSAMBLADO)",VLOOKUP(CDV_PROY_BT!H43,FDV!$B$4:$E$9,IF(CDV_PROY_BT!$N$10="3F",3,4),FALSE),VLOOKUP(CDV_PROY_BT!H43,FDV!$B$25:$E$30,IF(CDV_PROY_BT!$N$10="3F",3,4),FALSE)))))</f>
        <v/>
      </c>
      <c r="K43" s="63" t="str">
        <f t="shared" si="0"/>
        <v/>
      </c>
      <c r="L43" s="62" t="str">
        <f t="shared" si="2"/>
        <v/>
      </c>
      <c r="M43" s="62" t="str">
        <f t="shared" si="3"/>
        <v/>
      </c>
      <c r="N43" s="155"/>
      <c r="U43" s="138">
        <f t="shared" si="4"/>
        <v>0</v>
      </c>
      <c r="V43" s="138">
        <f t="shared" si="5"/>
        <v>0</v>
      </c>
    </row>
    <row r="44" spans="1:22" ht="15">
      <c r="A44" s="167"/>
      <c r="B44" s="168"/>
      <c r="C44" s="169"/>
      <c r="D44" s="169"/>
      <c r="E44" s="170"/>
      <c r="F44" s="58" t="str">
        <f>IF($N$8="","",IF($N$8="INDUSTRIAL",IF(OR($D$6="",$D$12=""),"",IF(OR(D44&gt;$D$13,E44&gt;$D$14),"Rev. Total. abona.",IF(D44="",IF(E44="","",E44/(0.9*1000)),IF(OR($D$6="SAN CRISTOBAL",$D$6="FLOREANA"),VLOOKUP(D44,'Estratos SCY - FLO'!$A$4:$M$108,IF($D$12="A1",2,IF($D$12="A",5,IF($D$12="B",8,11))))+E44/(0.92*1000),VLOOKUP(D44,'Estratos SCX - ISA'!$A$3:$M$107,IF($D$12="A1",2,IF($D$12="A",5,IF($D$12="B",8,11))))+E44/(0.92*1000))))),IF(OR($D$6="",$D$12=""),"",IF(OR(D44&gt;$D$13,E44&gt;$D$14),"Rev. Total. abona.",IF(D44="",IF(E44="","",E44/(0.92*1000)),IF(OR($D$6="SAN CRISTOBAL",$D$6="FLOREANA"),VLOOKUP(D44,'Estratos SCY - FLO'!$O$4:$S$108,IF($D$12="A1",2,IF($D$12="A",3,IF($D$12="B",4,5))))+E44/(0.92*1000),VLOOKUP(D44,'Estratos SCX - ISA'!$O$4:$S$108,IF($D$12="A1",2,IF($D$12="A",3,IF($D$12="B",4,5))))+E44/(0.92*1000)))))))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IF(OR(H44="",$D$10="",$N$10=""),"",IF($D$10="COBRE",VLOOKUP(CDV_PROY_BT!H44,FDV!$B$16:$E$24,IF(CDV_PROY_BT!$N$10="3F",3,4),FALSE),IF($D$10="ACS",VLOOKUP(CDV_PROY_BT!H44,FDV!$B$10:$E$15,IF(CDV_PROY_BT!$N$10="3F",3,4),FALSE),IF($D$10="5005 (PREENSAMBLADO)",VLOOKUP(CDV_PROY_BT!H44,FDV!$B$4:$E$9,IF(CDV_PROY_BT!$N$10="3F",3,4),FALSE),VLOOKUP(CDV_PROY_BT!H44,FDV!$B$25:$E$30,IF(CDV_PROY_BT!$N$10="3F",3,4),FALSE)))))</f>
        <v/>
      </c>
      <c r="K44" s="63" t="str">
        <f t="shared" si="0"/>
        <v/>
      </c>
      <c r="L44" s="62" t="str">
        <f t="shared" si="2"/>
        <v/>
      </c>
      <c r="M44" s="62" t="str">
        <f t="shared" si="3"/>
        <v/>
      </c>
      <c r="N44" s="155"/>
      <c r="U44" s="138">
        <f t="shared" si="4"/>
        <v>0</v>
      </c>
      <c r="V44" s="138">
        <f t="shared" si="5"/>
        <v>0</v>
      </c>
    </row>
    <row r="45" spans="1:22" ht="15">
      <c r="A45" s="167"/>
      <c r="B45" s="168"/>
      <c r="C45" s="169"/>
      <c r="D45" s="169"/>
      <c r="E45" s="170"/>
      <c r="F45" s="58" t="str">
        <f>IF($N$8="","",IF($N$8="INDUSTRIAL",IF(OR($D$6="",$D$12=""),"",IF(OR(D45&gt;$D$13,E45&gt;$D$14),"Rev. Total. abona.",IF(D45="",IF(E45="","",E45/(0.9*1000)),IF(OR($D$6="SAN CRISTOBAL",$D$6="FLOREANA"),VLOOKUP(D45,'Estratos SCY - FLO'!$A$4:$M$108,IF($D$12="A1",2,IF($D$12="A",5,IF($D$12="B",8,11))))+E45/(0.92*1000),VLOOKUP(D45,'Estratos SCX - ISA'!$A$3:$M$107,IF($D$12="A1",2,IF($D$12="A",5,IF($D$12="B",8,11))))+E45/(0.92*1000))))),IF(OR($D$6="",$D$12=""),"",IF(OR(D45&gt;$D$13,E45&gt;$D$14),"Rev. Total. abona.",IF(D45="",IF(E45="","",E45/(0.92*1000)),IF(OR($D$6="SAN CRISTOBAL",$D$6="FLOREANA"),VLOOKUP(D45,'Estratos SCY - FLO'!$O$4:$S$108,IF($D$12="A1",2,IF($D$12="A",3,IF($D$12="B",4,5))))+E45/(0.92*1000),VLOOKUP(D45,'Estratos SCX - ISA'!$O$4:$S$108,IF($D$12="A1",2,IF($D$12="A",3,IF($D$12="B",4,5))))+E45/(0.92*1000)))))))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IF(OR(H45="",$D$10="",$N$10=""),"",IF($D$10="COBRE",VLOOKUP(CDV_PROY_BT!H45,FDV!$B$16:$E$24,IF(CDV_PROY_BT!$N$10="3F",3,4),FALSE),IF($D$10="ACS",VLOOKUP(CDV_PROY_BT!H45,FDV!$B$10:$E$15,IF(CDV_PROY_BT!$N$10="3F",3,4),FALSE),IF($D$10="5005 (PREENSAMBLADO)",VLOOKUP(CDV_PROY_BT!H45,FDV!$B$4:$E$9,IF(CDV_PROY_BT!$N$10="3F",3,4),FALSE),VLOOKUP(CDV_PROY_BT!H45,FDV!$B$25:$E$30,IF(CDV_PROY_BT!$N$10="3F",3,4),FALSE)))))</f>
        <v/>
      </c>
      <c r="K45" s="63" t="str">
        <f t="shared" si="0"/>
        <v/>
      </c>
      <c r="L45" s="62" t="str">
        <f t="shared" si="2"/>
        <v/>
      </c>
      <c r="M45" s="62" t="str">
        <f t="shared" si="3"/>
        <v/>
      </c>
      <c r="N45" s="155"/>
      <c r="U45" s="138">
        <f t="shared" si="4"/>
        <v>0</v>
      </c>
      <c r="V45" s="138">
        <f t="shared" si="5"/>
        <v>0</v>
      </c>
    </row>
    <row r="46" spans="1:22" ht="15">
      <c r="A46" s="167"/>
      <c r="B46" s="168"/>
      <c r="C46" s="169"/>
      <c r="D46" s="169"/>
      <c r="E46" s="170"/>
      <c r="F46" s="58" t="str">
        <f>IF($N$8="","",IF($N$8="INDUSTRIAL",IF(OR($D$6="",$D$12=""),"",IF(OR(D46&gt;$D$13,E46&gt;$D$14),"Rev. Total. abona.",IF(D46="",IF(E46="","",E46/(0.9*1000)),IF(OR($D$6="SAN CRISTOBAL",$D$6="FLOREANA"),VLOOKUP(D46,'Estratos SCY - FLO'!$A$4:$M$108,IF($D$12="A1",2,IF($D$12="A",5,IF($D$12="B",8,11))))+E46/(0.92*1000),VLOOKUP(D46,'Estratos SCX - ISA'!$A$3:$M$107,IF($D$12="A1",2,IF($D$12="A",5,IF($D$12="B",8,11))))+E46/(0.92*1000))))),IF(OR($D$6="",$D$12=""),"",IF(OR(D46&gt;$D$13,E46&gt;$D$14),"Rev. Total. abona.",IF(D46="",IF(E46="","",E46/(0.92*1000)),IF(OR($D$6="SAN CRISTOBAL",$D$6="FLOREANA"),VLOOKUP(D46,'Estratos SCY - FLO'!$O$4:$S$108,IF($D$12="A1",2,IF($D$12="A",3,IF($D$12="B",4,5))))+E46/(0.92*1000),VLOOKUP(D46,'Estratos SCX - ISA'!$O$4:$S$108,IF($D$12="A1",2,IF($D$12="A",3,IF($D$12="B",4,5))))+E46/(0.92*1000)))))))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IF(OR(H46="",$D$10="",$N$10=""),"",IF($D$10="COBRE",VLOOKUP(CDV_PROY_BT!H46,FDV!$B$16:$E$24,IF(CDV_PROY_BT!$N$10="3F",3,4),FALSE),IF($D$10="ACS",VLOOKUP(CDV_PROY_BT!H46,FDV!$B$10:$E$15,IF(CDV_PROY_BT!$N$10="3F",3,4),FALSE),IF($D$10="5005 (PREENSAMBLADO)",VLOOKUP(CDV_PROY_BT!H46,FDV!$B$4:$E$9,IF(CDV_PROY_BT!$N$10="3F",3,4),FALSE),VLOOKUP(CDV_PROY_BT!H46,FDV!$B$25:$E$30,IF(CDV_PROY_BT!$N$10="3F",3,4),FALSE)))))</f>
        <v/>
      </c>
      <c r="K46" s="63" t="str">
        <f t="shared" si="0"/>
        <v/>
      </c>
      <c r="L46" s="62" t="str">
        <f t="shared" si="2"/>
        <v/>
      </c>
      <c r="M46" s="62" t="str">
        <f t="shared" si="3"/>
        <v/>
      </c>
      <c r="N46" s="155"/>
      <c r="U46" s="138">
        <f t="shared" si="4"/>
        <v>0</v>
      </c>
      <c r="V46" s="138">
        <f t="shared" si="5"/>
        <v>0</v>
      </c>
    </row>
    <row r="47" spans="1:22" ht="15">
      <c r="A47" s="167"/>
      <c r="B47" s="168"/>
      <c r="C47" s="169"/>
      <c r="D47" s="169"/>
      <c r="E47" s="170"/>
      <c r="F47" s="58" t="str">
        <f>IF($N$8="","",IF($N$8="INDUSTRIAL",IF(OR($D$6="",$D$12=""),"",IF(OR(D47&gt;$D$13,E47&gt;$D$14),"Rev. Total. abona.",IF(D47="",IF(E47="","",E47/(0.9*1000)),IF(OR($D$6="SAN CRISTOBAL",$D$6="FLOREANA"),VLOOKUP(D47,'Estratos SCY - FLO'!$A$4:$M$108,IF($D$12="A1",2,IF($D$12="A",5,IF($D$12="B",8,11))))+E47/(0.92*1000),VLOOKUP(D47,'Estratos SCX - ISA'!$A$3:$M$107,IF($D$12="A1",2,IF($D$12="A",5,IF($D$12="B",8,11))))+E47/(0.92*1000))))),IF(OR($D$6="",$D$12=""),"",IF(OR(D47&gt;$D$13,E47&gt;$D$14),"Rev. Total. abona.",IF(D47="",IF(E47="","",E47/(0.92*1000)),IF(OR($D$6="SAN CRISTOBAL",$D$6="FLOREANA"),VLOOKUP(D47,'Estratos SCY - FLO'!$O$4:$S$108,IF($D$12="A1",2,IF($D$12="A",3,IF($D$12="B",4,5))))+E47/(0.92*1000),VLOOKUP(D47,'Estratos SCX - ISA'!$O$4:$S$108,IF($D$12="A1",2,IF($D$12="A",3,IF($D$12="B",4,5))))+E47/(0.92*1000)))))))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IF(OR(H47="",$D$10="",$N$10=""),"",IF($D$10="COBRE",VLOOKUP(CDV_PROY_BT!H47,FDV!$B$16:$E$24,IF(CDV_PROY_BT!$N$10="3F",3,4),FALSE),IF($D$10="ACS",VLOOKUP(CDV_PROY_BT!H47,FDV!$B$10:$E$15,IF(CDV_PROY_BT!$N$10="3F",3,4),FALSE),IF($D$10="5005 (PREENSAMBLADO)",VLOOKUP(CDV_PROY_BT!H47,FDV!$B$4:$E$9,IF(CDV_PROY_BT!$N$10="3F",3,4),FALSE),VLOOKUP(CDV_PROY_BT!H47,FDV!$B$25:$E$30,IF(CDV_PROY_BT!$N$10="3F",3,4),FALSE)))))</f>
        <v/>
      </c>
      <c r="K47" s="63" t="str">
        <f t="shared" si="0"/>
        <v/>
      </c>
      <c r="L47" s="62" t="str">
        <f t="shared" si="2"/>
        <v/>
      </c>
      <c r="M47" s="62" t="str">
        <f t="shared" si="3"/>
        <v/>
      </c>
      <c r="N47" s="155"/>
      <c r="U47" s="138">
        <f t="shared" si="4"/>
        <v>0</v>
      </c>
      <c r="V47" s="138">
        <f t="shared" si="5"/>
        <v>0</v>
      </c>
    </row>
    <row r="48" spans="1:22" ht="15">
      <c r="A48" s="167"/>
      <c r="B48" s="168"/>
      <c r="C48" s="169"/>
      <c r="D48" s="169"/>
      <c r="E48" s="170"/>
      <c r="F48" s="58" t="str">
        <f>IF($N$8="","",IF($N$8="INDUSTRIAL",IF(OR($D$6="",$D$12=""),"",IF(OR(D48&gt;$D$13,E48&gt;$D$14),"Rev. Total. abona.",IF(D48="",IF(E48="","",E48/(0.9*1000)),IF(OR($D$6="SAN CRISTOBAL",$D$6="FLOREANA"),VLOOKUP(D48,'Estratos SCY - FLO'!$A$4:$M$108,IF($D$12="A1",2,IF($D$12="A",5,IF($D$12="B",8,11))))+E48/(0.92*1000),VLOOKUP(D48,'Estratos SCX - ISA'!$A$3:$M$107,IF($D$12="A1",2,IF($D$12="A",5,IF($D$12="B",8,11))))+E48/(0.92*1000))))),IF(OR($D$6="",$D$12=""),"",IF(OR(D48&gt;$D$13,E48&gt;$D$14),"Rev. Total. abona.",IF(D48="",IF(E48="","",E48/(0.92*1000)),IF(OR($D$6="SAN CRISTOBAL",$D$6="FLOREANA"),VLOOKUP(D48,'Estratos SCY - FLO'!$O$4:$S$108,IF($D$12="A1",2,IF($D$12="A",3,IF($D$12="B",4,5))))+E48/(0.92*1000),VLOOKUP(D48,'Estratos SCX - ISA'!$O$4:$S$108,IF($D$12="A1",2,IF($D$12="A",3,IF($D$12="B",4,5))))+E48/(0.92*1000)))))))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IF(OR(H48="",$D$10="",$N$10=""),"",IF($D$10="COBRE",VLOOKUP(CDV_PROY_BT!H48,FDV!$B$16:$E$24,IF(CDV_PROY_BT!$N$10="3F",3,4),FALSE),IF($D$10="ACS",VLOOKUP(CDV_PROY_BT!H48,FDV!$B$10:$E$15,IF(CDV_PROY_BT!$N$10="3F",3,4),FALSE),IF($D$10="5005 (PREENSAMBLADO)",VLOOKUP(CDV_PROY_BT!H48,FDV!$B$4:$E$9,IF(CDV_PROY_BT!$N$10="3F",3,4),FALSE),VLOOKUP(CDV_PROY_BT!H48,FDV!$B$25:$E$30,IF(CDV_PROY_BT!$N$10="3F",3,4),FALSE)))))</f>
        <v/>
      </c>
      <c r="K48" s="63" t="str">
        <f t="shared" si="0"/>
        <v/>
      </c>
      <c r="L48" s="62" t="str">
        <f t="shared" si="2"/>
        <v/>
      </c>
      <c r="M48" s="62" t="str">
        <f t="shared" si="3"/>
        <v/>
      </c>
      <c r="N48" s="156"/>
      <c r="U48" s="138">
        <f t="shared" si="4"/>
        <v>0</v>
      </c>
      <c r="V48" s="138">
        <f t="shared" si="5"/>
        <v>0</v>
      </c>
    </row>
    <row r="49" spans="1:22" ht="15.75" thickBot="1">
      <c r="A49" s="178"/>
      <c r="B49" s="179"/>
      <c r="C49" s="180"/>
      <c r="D49" s="180"/>
      <c r="E49" s="181"/>
      <c r="F49" s="68" t="str">
        <f>IF($N$8="","",IF($N$8="INDUSTRIAL",IF(OR($D$6="",$D$12=""),"",IF(OR(D49&gt;$D$13,E49&gt;$D$14),"Rev. Total. abona.",IF(D49="",IF(E49="","",E49/(0.9*1000)),IF(OR($D$6="SAN CRISTOBAL",$D$6="FLOREANA"),VLOOKUP(D49,'Estratos SCY - FLO'!$A$4:$M$108,IF($D$12="A1",2,IF($D$12="A",5,IF($D$12="B",8,11))))+E49/(0.92*1000),VLOOKUP(D49,'Estratos SCX - ISA'!$A$3:$M$107,IF($D$12="A1",2,IF($D$12="A",5,IF($D$12="B",8,11))))+E49/(0.92*1000))))),IF(OR($D$6="",$D$12=""),"",IF(OR(D49&gt;$D$13,E49&gt;$D$14),"Rev. Total. abona.",IF(D49="",IF(E49="","",E49/(0.92*1000)),IF(OR($D$6="SAN CRISTOBAL",$D$6="FLOREANA"),VLOOKUP(D49,'Estratos SCY - FLO'!$O$4:$S$108,IF($D$12="A1",2,IF($D$12="A",3,IF($D$12="B",4,5))))+E49/(0.92*1000),VLOOKUP(D49,'Estratos SCX - ISA'!$O$4:$S$108,IF($D$12="A1",2,IF($D$12="A",3,IF($D$12="B",4,5))))+E49/(0.92*1000)))))))</f>
        <v/>
      </c>
      <c r="G49" s="69" t="str">
        <f t="shared" si="1"/>
        <v/>
      </c>
      <c r="H49" s="184"/>
      <c r="I49" s="184"/>
      <c r="J49" s="69" t="str">
        <f>IF(OR(H49="",$D$10="",$N$10=""),"",IF($D$10="COBRE",VLOOKUP(CDV_PROY_BT!H49,FDV!$B$16:$E$24,IF(CDV_PROY_BT!$N$10="3F",3,4),FALSE),IF($D$10="ACS",VLOOKUP(CDV_PROY_BT!H49,FDV!$B$10:$E$15,IF(CDV_PROY_BT!$N$10="3F",3,4),FALSE),IF($D$10="5005 (PREENSAMBLADO)",VLOOKUP(CDV_PROY_BT!H49,FDV!$B$4:$E$9,IF(CDV_PROY_BT!$N$10="3F",3,4),FALSE),VLOOKUP(CDV_PROY_BT!H49,FDV!$B$25:$E$30,IF(CDV_PROY_BT!$N$10="3F",3,4),FALSE)))))</f>
        <v/>
      </c>
      <c r="K49" s="65" t="str">
        <f t="shared" si="0"/>
        <v/>
      </c>
      <c r="L49" s="64" t="str">
        <f t="shared" si="2"/>
        <v/>
      </c>
      <c r="M49" s="64" t="str">
        <f t="shared" si="3"/>
        <v/>
      </c>
      <c r="N49" s="157"/>
      <c r="U49" s="138">
        <f t="shared" si="4"/>
        <v>0</v>
      </c>
      <c r="V49" s="138">
        <f t="shared" si="5"/>
        <v>0</v>
      </c>
    </row>
    <row r="50" spans="1:22" ht="15.75" hidden="1" thickBot="1">
      <c r="A50" s="143"/>
      <c r="B50" s="67" t="str">
        <f>IF(N19="","",N19)</f>
        <v>P5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 t="shared" si="1"/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IF(OR(H50="",$D$10="",$N$10=""),"",IF($D$10="COBRE",VLOOKUP(CDV_PROY_BT!H50,FDV!$B$16:$E$24,IF(CDV_PROY_BT!$N$10="3F",3,4),FALSE),IF($D$10="ACS",VLOOKUP(CDV_PROY_BT!H50,FDV!$B$10:$E$15,IF(CDV_PROY_BT!$N$10="3F",3,4),FALSE),IF($D$10="5005 (PREENSAMBLADO)",VLOOKUP(CDV_PROY_BT!H50,FDV!$B$4:$E$9,IF(CDV_PROY_BT!$N$10="3F",3,4),FALSE),VLOOKUP(CDV_PROY_BT!H50,FDV!$B$25:$E$30,IF(CDV_PROY_BT!$N$10="3F",3,4),FALSE)))))</f>
        <v>#VALUE!</v>
      </c>
      <c r="K50" s="71" t="str">
        <f t="shared" si="0"/>
        <v/>
      </c>
      <c r="L50" s="68" t="str">
        <f aca="true" t="shared" si="6" ref="L50">IF(C50="","",ROUND(K50/J50,2))</f>
        <v/>
      </c>
      <c r="M50" s="72">
        <v>0</v>
      </c>
      <c r="N50" s="66"/>
      <c r="U50" s="138">
        <f aca="true" t="shared" si="7" ref="U50:U51">+IF(D50&gt;0,C50,0)</f>
        <v>0</v>
      </c>
      <c r="V50" s="138">
        <f aca="true" t="shared" si="8" ref="V50:V51">IF(C50="",0,C50*G50)</f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40"/>
      <c r="U51" s="138">
        <f t="shared" si="7"/>
        <v>0</v>
      </c>
      <c r="V51" s="138">
        <f t="shared" si="8"/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381</v>
      </c>
      <c r="I52" s="93" t="s">
        <v>58</v>
      </c>
      <c r="J52" s="94">
        <f>ROUND((SUMIF(H23:H49,"2",V23:V51))*1.015,0)</f>
        <v>0</v>
      </c>
      <c r="K52" s="147"/>
      <c r="L52" s="91"/>
      <c r="M52" s="92"/>
      <c r="N52" s="241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41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381</v>
      </c>
      <c r="L54" s="91"/>
      <c r="M54" s="92"/>
      <c r="N54" s="241"/>
    </row>
    <row r="55" spans="1:14" ht="15.75" thickBot="1">
      <c r="A55" s="244" t="s">
        <v>123</v>
      </c>
      <c r="B55" s="244"/>
      <c r="C55" s="244"/>
      <c r="D55" s="21">
        <f>IF(N10="","",SUM(C23:C49))</f>
        <v>375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9"/>
      <c r="N56" s="84" t="s">
        <v>61</v>
      </c>
    </row>
    <row r="57" spans="1:14" ht="15.75" thickBot="1">
      <c r="A57" s="148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3"/>
      <c r="N57" s="85">
        <f>MAX(N23:N49)</f>
        <v>3.45</v>
      </c>
    </row>
    <row r="60" spans="1:14" ht="15.75" hidden="1" thickBot="1">
      <c r="A60" s="18"/>
      <c r="B60" s="18"/>
      <c r="C60" s="19"/>
      <c r="D60" s="19"/>
      <c r="E60" s="19"/>
      <c r="F60" s="20"/>
      <c r="G60" s="18"/>
      <c r="H60" s="18"/>
      <c r="I60" s="18"/>
      <c r="J60" s="19"/>
      <c r="K60" s="18"/>
      <c r="L60" s="18"/>
      <c r="M60" s="131" t="s">
        <v>122</v>
      </c>
      <c r="N60" s="161" t="s">
        <v>206</v>
      </c>
    </row>
    <row r="61" spans="1:14" ht="18" hidden="1">
      <c r="A61" s="245" t="s">
        <v>62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</row>
    <row r="62" spans="1:14" ht="18" hidden="1">
      <c r="A62" s="192"/>
      <c r="B62" s="192"/>
      <c r="C62" s="192"/>
      <c r="D62" s="192"/>
      <c r="E62" s="192"/>
      <c r="F62" s="22" t="s">
        <v>111</v>
      </c>
      <c r="G62" s="192"/>
      <c r="H62" s="192"/>
      <c r="I62" s="192"/>
      <c r="J62" s="192"/>
      <c r="K62" s="192"/>
      <c r="L62" s="192"/>
      <c r="M62" s="192"/>
      <c r="N62" s="87"/>
    </row>
    <row r="63" spans="1:31" ht="15.75" hidden="1">
      <c r="A63" s="246" t="s">
        <v>112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U63" s="138" t="s">
        <v>63</v>
      </c>
      <c r="W63" s="138" t="s">
        <v>24</v>
      </c>
      <c r="Y63" s="138" t="s">
        <v>69</v>
      </c>
      <c r="AA63" s="138" t="s">
        <v>72</v>
      </c>
      <c r="AB63" s="138" t="s">
        <v>77</v>
      </c>
      <c r="AC63" s="138" t="s">
        <v>79</v>
      </c>
      <c r="AD63" s="138" t="s">
        <v>170</v>
      </c>
      <c r="AE63" s="138" t="s">
        <v>176</v>
      </c>
    </row>
    <row r="64" spans="1:31" ht="16.5" hidden="1" thickBot="1">
      <c r="A64" s="24"/>
      <c r="B64" s="18"/>
      <c r="C64" s="19"/>
      <c r="D64" s="19"/>
      <c r="E64" s="19"/>
      <c r="F64" s="20"/>
      <c r="G64" s="20"/>
      <c r="H64" s="18"/>
      <c r="I64" s="18"/>
      <c r="J64" s="18"/>
      <c r="K64" s="19"/>
      <c r="L64" s="18"/>
      <c r="M64" s="18"/>
      <c r="N64" s="23"/>
      <c r="U64" s="138" t="s">
        <v>64</v>
      </c>
      <c r="W64" s="138" t="s">
        <v>82</v>
      </c>
      <c r="Y64" s="138" t="s">
        <v>70</v>
      </c>
      <c r="AA64" s="138" t="s">
        <v>73</v>
      </c>
      <c r="AB64" s="138" t="s">
        <v>29</v>
      </c>
      <c r="AC64" s="139">
        <v>2</v>
      </c>
      <c r="AD64" s="138" t="s">
        <v>171</v>
      </c>
      <c r="AE64" s="138">
        <v>0.65</v>
      </c>
    </row>
    <row r="65" spans="1:31" ht="15.75" hidden="1" thickBot="1">
      <c r="A65" s="25" t="s">
        <v>23</v>
      </c>
      <c r="B65" s="26"/>
      <c r="C65" s="88"/>
      <c r="D65" s="258" t="s">
        <v>64</v>
      </c>
      <c r="E65" s="258"/>
      <c r="F65" s="266" t="s">
        <v>92</v>
      </c>
      <c r="G65" s="267"/>
      <c r="H65" s="263" t="str">
        <f>+H6</f>
        <v>Puerto Villamil</v>
      </c>
      <c r="I65" s="264"/>
      <c r="J65" s="265"/>
      <c r="K65" s="268" t="s">
        <v>81</v>
      </c>
      <c r="L65" s="269"/>
      <c r="M65" s="261" t="str">
        <f>+M6</f>
        <v>Pedregal V</v>
      </c>
      <c r="N65" s="262"/>
      <c r="U65" s="138" t="s">
        <v>65</v>
      </c>
      <c r="W65" s="138" t="s">
        <v>83</v>
      </c>
      <c r="Y65" s="138" t="s">
        <v>7</v>
      </c>
      <c r="AA65" s="138" t="s">
        <v>76</v>
      </c>
      <c r="AB65" s="138" t="s">
        <v>78</v>
      </c>
      <c r="AC65" s="139" t="s">
        <v>0</v>
      </c>
      <c r="AD65" s="138" t="s">
        <v>172</v>
      </c>
      <c r="AE65" s="138">
        <v>0.7</v>
      </c>
    </row>
    <row r="66" spans="1:31" ht="15.75" hidden="1" thickBot="1">
      <c r="A66" s="21"/>
      <c r="B66" s="21"/>
      <c r="C66" s="21"/>
      <c r="D66" s="21"/>
      <c r="E66" s="21"/>
      <c r="F66" s="28"/>
      <c r="G66" s="28"/>
      <c r="H66" s="21"/>
      <c r="I66" s="21"/>
      <c r="J66" s="21"/>
      <c r="K66" s="21"/>
      <c r="L66" s="21"/>
      <c r="M66" s="21"/>
      <c r="N66" s="23"/>
      <c r="U66" s="138" t="s">
        <v>66</v>
      </c>
      <c r="W66" s="138" t="s">
        <v>68</v>
      </c>
      <c r="Y66" s="138" t="s">
        <v>27</v>
      </c>
      <c r="AA66" s="138" t="s">
        <v>74</v>
      </c>
      <c r="AC66" s="139" t="s">
        <v>1</v>
      </c>
      <c r="AD66" s="138" t="s">
        <v>173</v>
      </c>
      <c r="AE66" s="138">
        <v>0.8</v>
      </c>
    </row>
    <row r="67" spans="1:31" ht="15.75" hidden="1" thickBot="1">
      <c r="A67" s="25" t="s">
        <v>24</v>
      </c>
      <c r="B67" s="26"/>
      <c r="C67" s="26"/>
      <c r="D67" s="259" t="s">
        <v>68</v>
      </c>
      <c r="E67" s="258"/>
      <c r="F67" s="260"/>
      <c r="G67" s="26"/>
      <c r="H67" s="29"/>
      <c r="I67" s="29"/>
      <c r="J67" s="26"/>
      <c r="K67" s="26"/>
      <c r="L67" s="26" t="s">
        <v>174</v>
      </c>
      <c r="M67" s="26"/>
      <c r="N67" s="211" t="s">
        <v>173</v>
      </c>
      <c r="U67" s="138" t="s">
        <v>67</v>
      </c>
      <c r="Y67" s="138" t="s">
        <v>9</v>
      </c>
      <c r="AA67" s="138" t="s">
        <v>75</v>
      </c>
      <c r="AC67" s="139" t="s">
        <v>2</v>
      </c>
      <c r="AE67" s="138">
        <v>0.9</v>
      </c>
    </row>
    <row r="68" spans="1:31" ht="15.75" hidden="1" thickBot="1">
      <c r="A68" s="23" t="s">
        <v>25</v>
      </c>
      <c r="B68" s="23"/>
      <c r="C68" s="23"/>
      <c r="D68" s="23"/>
      <c r="E68" s="23"/>
      <c r="F68" s="23"/>
      <c r="G68" s="23"/>
      <c r="H68" s="23"/>
      <c r="I68" s="23"/>
      <c r="J68" s="23"/>
      <c r="K68" s="23" t="s">
        <v>178</v>
      </c>
      <c r="L68" s="208"/>
      <c r="M68" s="23"/>
      <c r="N68" s="43" t="str">
        <f>IF(N69="","",IF(N69="3F","220 / 127 V","240 / 120 V"))</f>
        <v>220 / 127 V</v>
      </c>
      <c r="AC68" s="141" t="s">
        <v>3</v>
      </c>
      <c r="AE68" s="138">
        <v>1</v>
      </c>
    </row>
    <row r="69" spans="1:24" ht="15.75" hidden="1" thickBot="1">
      <c r="A69" s="30" t="s">
        <v>26</v>
      </c>
      <c r="B69" s="18"/>
      <c r="C69" s="23"/>
      <c r="D69" s="253" t="s">
        <v>70</v>
      </c>
      <c r="E69" s="254"/>
      <c r="F69" s="18"/>
      <c r="G69" s="18"/>
      <c r="H69" s="18"/>
      <c r="I69" s="18"/>
      <c r="J69" s="18"/>
      <c r="K69" s="23"/>
      <c r="L69" s="18" t="s">
        <v>179</v>
      </c>
      <c r="M69" s="18"/>
      <c r="N69" s="151" t="s">
        <v>78</v>
      </c>
      <c r="U69" s="138" t="s">
        <v>64</v>
      </c>
      <c r="W69" s="138" t="s">
        <v>29</v>
      </c>
      <c r="X69" s="138" t="s">
        <v>78</v>
      </c>
    </row>
    <row r="70" spans="1:24" ht="15.75" hidden="1" thickBot="1">
      <c r="A70" s="23"/>
      <c r="B70" s="31"/>
      <c r="C70" s="23"/>
      <c r="D70" s="19"/>
      <c r="E70" s="32"/>
      <c r="F70" s="32"/>
      <c r="G70" s="20"/>
      <c r="H70" s="20"/>
      <c r="I70" s="20"/>
      <c r="J70" s="33"/>
      <c r="K70" s="21" t="s">
        <v>175</v>
      </c>
      <c r="L70" s="35"/>
      <c r="M70" s="18"/>
      <c r="N70" s="209">
        <v>0.8</v>
      </c>
      <c r="U70" s="138" t="s">
        <v>84</v>
      </c>
      <c r="W70" s="138">
        <v>10</v>
      </c>
      <c r="X70" s="138">
        <v>30</v>
      </c>
    </row>
    <row r="71" spans="1:24" ht="15.75" hidden="1" thickBot="1">
      <c r="A71" s="36" t="s">
        <v>71</v>
      </c>
      <c r="B71" s="37"/>
      <c r="C71" s="37"/>
      <c r="D71" s="150" t="s">
        <v>76</v>
      </c>
      <c r="E71" s="38"/>
      <c r="F71" s="39"/>
      <c r="G71" s="39"/>
      <c r="H71" s="39"/>
      <c r="I71" s="39"/>
      <c r="J71" s="37"/>
      <c r="K71" s="36"/>
      <c r="L71" s="37"/>
      <c r="M71" s="89" t="s">
        <v>30</v>
      </c>
      <c r="N71" s="190" t="s">
        <v>128</v>
      </c>
      <c r="U71" s="138" t="s">
        <v>85</v>
      </c>
      <c r="W71" s="138">
        <v>15</v>
      </c>
      <c r="X71" s="138">
        <v>50</v>
      </c>
    </row>
    <row r="72" spans="1:24" ht="15.75" hidden="1" thickBot="1">
      <c r="A72" s="41" t="s">
        <v>31</v>
      </c>
      <c r="B72" s="21"/>
      <c r="C72" s="21"/>
      <c r="D72" s="150">
        <v>14</v>
      </c>
      <c r="E72" s="21"/>
      <c r="F72" s="28"/>
      <c r="G72" s="42" t="s">
        <v>32</v>
      </c>
      <c r="H72" s="274" t="str">
        <f>+H13</f>
        <v>J.P</v>
      </c>
      <c r="I72" s="275"/>
      <c r="J72" s="275"/>
      <c r="K72" s="41"/>
      <c r="L72" s="21"/>
      <c r="M72" s="115" t="s">
        <v>93</v>
      </c>
      <c r="N72" s="210">
        <f>+N73/N70</f>
        <v>85.42313173319148</v>
      </c>
      <c r="U72" s="138" t="s">
        <v>86</v>
      </c>
      <c r="W72" s="138">
        <v>25</v>
      </c>
      <c r="X72" s="138">
        <v>75</v>
      </c>
    </row>
    <row r="73" spans="1:24" ht="15.75" hidden="1" thickBot="1">
      <c r="A73" s="41" t="s">
        <v>34</v>
      </c>
      <c r="B73" s="21"/>
      <c r="C73" s="21"/>
      <c r="D73" s="162">
        <f>990</f>
        <v>990</v>
      </c>
      <c r="E73" s="41"/>
      <c r="F73" s="28"/>
      <c r="G73" s="42" t="s">
        <v>35</v>
      </c>
      <c r="H73" s="249">
        <f>+H14</f>
        <v>43511</v>
      </c>
      <c r="I73" s="250"/>
      <c r="J73" s="250"/>
      <c r="K73" s="41"/>
      <c r="L73" s="21"/>
      <c r="M73" s="115" t="s">
        <v>177</v>
      </c>
      <c r="N73" s="116">
        <f>IF($N$67="","",IF($N$67="INDUSTRIAL",IF(OR(D65="",D71="",D72=""),"",(IF(OR(D65="SAN CRISTOBAL",D65="FLOREANA"),VLOOKUP(D72,'Estratos SCY - FLO'!$A$4:$M$108,IF(D71="A1",2,IF(D71="A",5,IF(D71="B",8,11))),0),VLOOKUP(D72,'Estratos SCX - ISA'!$A$4:$M$108,IF(D71="A1",2,IF(D71="A",5,IF(D71="B",8,11))),0))+D73/920)*N70),IF(OR(D65="",D71="",D72=""),"",(IF(OR(D65="SAN CRISTOBAL",D65="FLOREANA"),VLOOKUP(D72,'Estratos SCY - FLO'!$O$4:$S$108,IF(D71="A1",2,IF(D71="A",3,IF(D71="B",4,5))),0),VLOOKUP(D72,'Estratos SCX - ISA'!$O$4:$S$108,IF(D71="A1",2,IF(D71="A",3,IF(D71="B",4,5))),0))+D73/920)*N70)))</f>
        <v>68.3385053865532</v>
      </c>
      <c r="U73" s="138" t="s">
        <v>87</v>
      </c>
      <c r="W73" s="138">
        <v>37.5</v>
      </c>
      <c r="X73" s="138">
        <v>100</v>
      </c>
    </row>
    <row r="74" spans="1:24" ht="27" customHeight="1" hidden="1" thickBot="1">
      <c r="A74" s="270" t="str">
        <f>+IF(OR(N67="INDUSTRIAL"),"NOTA: Estratos:  A1 (Consumo-Alto); A (Consumo-Medio); B(Consumo-Bajo); C(Consumo-Mínimo)",IF(N67="","","NOTA: Estratos:  A1 (Casco Urbano-Sector hotelero);A (Barrios Centricos); B(Zona Periferica); C(Zona Rural)"))</f>
        <v>NOTA: Estratos:  A1 (Consumo-Alto); A (Consumo-Medio); B(Consumo-Bajo); C(Consumo-Mínimo)</v>
      </c>
      <c r="B74" s="271"/>
      <c r="C74" s="271"/>
      <c r="D74" s="271"/>
      <c r="E74" s="271"/>
      <c r="F74" s="271"/>
      <c r="G74" s="271"/>
      <c r="H74" s="271"/>
      <c r="I74" s="271"/>
      <c r="J74" s="271"/>
      <c r="K74" s="44"/>
      <c r="L74" s="34"/>
      <c r="M74" s="130" t="str">
        <f>+IF(OR(N69="",D71="",D72=""),"","POT. NOMINAL TRAFO. (KVA):")</f>
        <v>POT. NOMINAL TRAFO. (KVA):</v>
      </c>
      <c r="N74" s="117">
        <f>IF(OR(N69="",N70="",N70=0),"",IF(N69="1F",IF(N73&lt;$W$11,$W$11,IF(AND(N73&gt;$W$11,N73&lt;$W$12),$W$12,IF(AND(N73&gt;$W$12,N73&lt;$W$13),$W$13,IF(AND(N73&gt;$W$13,N73&lt;$W$14),$W$14,IF(AND(N73&gt;$W$14,N73&lt;$W$15),$W$15,IF(AND(N73&gt;$W$15,N73&lt;$W$16),$W$16,IF(AND(N73&gt;$W$16,N73&lt;$W$17),$W$17,IF(AND(N73&gt;$W$17,N73&lt;$W$18),$W$18,IF(AND(N73&gt;$W$18,N73&lt;$W$19),$W$19,""))))))))),IF($N$73&lt;$X$11,$X$11,IF(AND(N73&gt;$X$11,N73&lt;$X$12),$X$12,IF(AND(N73&gt;$X$12,N73&lt;$X$13),$X$13,IF(AND(N73&gt;$X$13,N73&lt;$X$14),$X$14,IF(AND(N73&gt;$X$14,N73&lt;$X$15),$X$15,IF(AND(N73&gt;$X$15,N73&lt;$X$16),$X$16,IF(AND(N73&gt;$X$16,N73&lt;$X$17),$X$17,"")))))))))</f>
        <v>75</v>
      </c>
      <c r="U74" s="138" t="s">
        <v>88</v>
      </c>
      <c r="W74" s="138">
        <v>50</v>
      </c>
      <c r="X74" s="138">
        <v>125</v>
      </c>
    </row>
    <row r="75" spans="1:24" ht="15.75" hidden="1" thickBot="1">
      <c r="A75" s="21"/>
      <c r="B75" s="21"/>
      <c r="C75" s="21"/>
      <c r="D75" s="21"/>
      <c r="E75" s="21"/>
      <c r="F75" s="28"/>
      <c r="G75" s="28"/>
      <c r="H75" s="21"/>
      <c r="I75" s="21"/>
      <c r="J75" s="21"/>
      <c r="K75" s="21"/>
      <c r="L75" s="21"/>
      <c r="M75" s="21"/>
      <c r="N75" s="23"/>
      <c r="U75" s="138" t="s">
        <v>89</v>
      </c>
      <c r="W75" s="138">
        <v>75</v>
      </c>
      <c r="X75" s="138">
        <v>150</v>
      </c>
    </row>
    <row r="76" spans="1:24" ht="19.5" hidden="1" thickBot="1">
      <c r="A76" s="46" t="s">
        <v>36</v>
      </c>
      <c r="B76" s="47"/>
      <c r="C76" s="47"/>
      <c r="D76" s="48" t="s">
        <v>37</v>
      </c>
      <c r="E76" s="49"/>
      <c r="F76" s="50"/>
      <c r="G76" s="50"/>
      <c r="H76" s="37"/>
      <c r="I76" s="37"/>
      <c r="J76" s="37"/>
      <c r="K76" s="37"/>
      <c r="L76" s="37"/>
      <c r="M76" s="37"/>
      <c r="N76" s="40"/>
      <c r="U76" s="138" t="s">
        <v>90</v>
      </c>
      <c r="W76" s="138">
        <v>100</v>
      </c>
      <c r="X76" s="138">
        <v>200</v>
      </c>
    </row>
    <row r="77" spans="1:23" ht="15.75" hidden="1" thickBot="1">
      <c r="A77" s="41"/>
      <c r="B77" s="21"/>
      <c r="C77" s="21"/>
      <c r="D77" s="21"/>
      <c r="E77" s="21"/>
      <c r="F77" s="28"/>
      <c r="G77" s="28"/>
      <c r="H77" s="21"/>
      <c r="I77" s="21"/>
      <c r="J77" s="21"/>
      <c r="K77" s="21"/>
      <c r="L77" s="21" t="s">
        <v>196</v>
      </c>
      <c r="M77" s="21"/>
      <c r="N77" s="163"/>
      <c r="U77" s="138" t="s">
        <v>91</v>
      </c>
      <c r="W77" s="138">
        <v>112.5</v>
      </c>
    </row>
    <row r="78" spans="1:23" ht="15.75" hidden="1" thickBot="1">
      <c r="A78" s="44"/>
      <c r="B78" s="34"/>
      <c r="C78" s="34"/>
      <c r="D78" s="34"/>
      <c r="E78" s="34"/>
      <c r="F78" s="45"/>
      <c r="G78" s="45"/>
      <c r="H78" s="34"/>
      <c r="I78" s="34"/>
      <c r="J78" s="34"/>
      <c r="K78" s="34"/>
      <c r="L78" s="113" t="s">
        <v>102</v>
      </c>
      <c r="M78" s="142"/>
      <c r="N78" s="163" t="s">
        <v>130</v>
      </c>
      <c r="W78" s="138">
        <v>125</v>
      </c>
    </row>
    <row r="79" spans="1:14" ht="15.75" hidden="1" thickBot="1">
      <c r="A79" s="21"/>
      <c r="B79" s="21"/>
      <c r="C79" s="21"/>
      <c r="D79" s="21"/>
      <c r="E79" s="21"/>
      <c r="F79" s="28"/>
      <c r="G79" s="28"/>
      <c r="H79" s="21"/>
      <c r="I79" s="21"/>
      <c r="J79" s="21"/>
      <c r="K79" s="21"/>
      <c r="L79" s="21"/>
      <c r="M79" s="21"/>
      <c r="N79" s="23"/>
    </row>
    <row r="80" spans="1:22" ht="15.75" hidden="1" thickBot="1">
      <c r="A80" s="257" t="s">
        <v>38</v>
      </c>
      <c r="B80" s="252"/>
      <c r="C80" s="52" t="s">
        <v>39</v>
      </c>
      <c r="D80" s="52" t="s">
        <v>40</v>
      </c>
      <c r="E80" s="53" t="s">
        <v>41</v>
      </c>
      <c r="F80" s="53" t="s">
        <v>42</v>
      </c>
      <c r="G80" s="257" t="s">
        <v>43</v>
      </c>
      <c r="H80" s="251"/>
      <c r="I80" s="251"/>
      <c r="J80" s="252"/>
      <c r="K80" s="255" t="s">
        <v>44</v>
      </c>
      <c r="L80" s="251" t="s">
        <v>45</v>
      </c>
      <c r="M80" s="251"/>
      <c r="N80" s="252"/>
      <c r="U80" s="237" t="s">
        <v>98</v>
      </c>
      <c r="V80" s="237" t="s">
        <v>99</v>
      </c>
    </row>
    <row r="81" spans="1:22" ht="15.75" hidden="1" thickBot="1">
      <c r="A81" s="52" t="s">
        <v>46</v>
      </c>
      <c r="B81" s="52" t="s">
        <v>47</v>
      </c>
      <c r="C81" s="54" t="s">
        <v>48</v>
      </c>
      <c r="D81" s="54" t="s">
        <v>49</v>
      </c>
      <c r="E81" s="55" t="s">
        <v>50</v>
      </c>
      <c r="F81" s="55" t="s">
        <v>51</v>
      </c>
      <c r="G81" s="56" t="s">
        <v>52</v>
      </c>
      <c r="H81" s="43" t="s">
        <v>105</v>
      </c>
      <c r="I81" s="124" t="s">
        <v>106</v>
      </c>
      <c r="J81" s="43" t="s">
        <v>53</v>
      </c>
      <c r="K81" s="256"/>
      <c r="L81" s="53" t="s">
        <v>54</v>
      </c>
      <c r="M81" s="43" t="s">
        <v>55</v>
      </c>
      <c r="N81" s="57" t="s">
        <v>56</v>
      </c>
      <c r="U81" s="237"/>
      <c r="V81" s="237"/>
    </row>
    <row r="82" spans="1:22" ht="15" hidden="1">
      <c r="A82" s="191" t="str">
        <f>IF(N78="","",N78)</f>
        <v>P11</v>
      </c>
      <c r="B82" s="164" t="s">
        <v>131</v>
      </c>
      <c r="C82" s="165">
        <v>30</v>
      </c>
      <c r="D82" s="165">
        <v>7</v>
      </c>
      <c r="E82" s="166">
        <v>880</v>
      </c>
      <c r="F82" s="193">
        <f>IF($N$67="","",IF($N$67="INDUSTRIAL",IF(OR($D$65="",$D$71=""),"",IF(OR(D82&gt;$D$72,E82&gt;$D$73),"Rev. Total. abona.",IF(D82="",IF(E82="","",E82/(0.9*1000)),IF(OR($D$65="SAN CRISTOBAL",$D$65="FLOREANA"),VLOOKUP(D82,'Estratos SCY - FLO'!$A$4:$M$108,IF($D$71="A1",2,IF($D$71="A",5,IF($D$71="B",8,11))))+E82/(0.92*1000),VLOOKUP(D82,'Estratos SCX - ISA'!$A$3:$M$107,IF($D$71="A1",2,IF($D$71="A",5,IF($D$71="B",8,11))))+E82/(0.92*1000))))),IF(OR($D$65="",$D$71=""),"",IF(OR(D82&gt;$D$72,E82&gt;$D$73),"Rev. Total. abona.",IF(D82="",IF(E82="","",E82/(0.92*1000)),IF(OR($D$65="SAN CRISTOBAL",$D$65="FLOREANA"),VLOOKUP(D82,'Estratos SCY - FLO'!$O$4:$S$108,IF($D$71="A1",2,IF($D$71="A",3,IF($D$71="B",4,5))))+E82/(0.92*1000),VLOOKUP(D82,'Estratos SCX - ISA'!$O$4:$S$108,IF($D$71="A1",2,IF($D$71="A",3,IF($D$71="B",4,5))))+E82/(0.92*1000)))))))</f>
        <v>45.84476145830328</v>
      </c>
      <c r="G82" s="95">
        <f>IF(OR($N$10="",C82=""),"",IF($N$10="1F",1,3))</f>
        <v>1</v>
      </c>
      <c r="H82" s="182" t="s">
        <v>0</v>
      </c>
      <c r="I82" s="182" t="s">
        <v>0</v>
      </c>
      <c r="J82" s="95">
        <f>IF(OR(H82="",$D$10="",$N$10=""),"",IF($D$10="COBRE",VLOOKUP(CDV_PROY_BT!H82,FDV!$B$16:$E$24,IF(CDV_PROY_BT!$N$10="3F",3,4),FALSE),IF($D$10="ACS",VLOOKUP(CDV_PROY_BT!H82,FDV!$B$10:$E$15,IF(CDV_PROY_BT!$N$10="3F",3,4),FALSE),IF($D$10="5005 (PREENSAMBLADO)",VLOOKUP(CDV_PROY_BT!H82,FDV!$B$4:$E$9,IF(CDV_PROY_BT!$N$10="3F",3,4),FALSE),VLOOKUP(CDV_PROY_BT!H82,FDV!$B$25:$E$30,IF(CDV_PROY_BT!$N$10="3F",3,4),FALSE)))))</f>
        <v>412</v>
      </c>
      <c r="K82" s="60">
        <f aca="true" t="shared" si="9" ref="K82:K109">IF(C82="","",ROUND(F82*C82,0))</f>
        <v>1375</v>
      </c>
      <c r="L82" s="61">
        <f>IF($N$19="","",IF(C82="","",ROUND(K82/J82,2)))</f>
        <v>3.34</v>
      </c>
      <c r="M82" s="61">
        <f>IF(C82="","",VLOOKUP(A82,$B$82:$N$109,12,FALSE)+L82+N77)</f>
        <v>3.34</v>
      </c>
      <c r="N82" s="154"/>
      <c r="U82" s="138">
        <f>+IF(C82="",0,C82)</f>
        <v>30</v>
      </c>
      <c r="V82" s="138">
        <f>IF(OR(C82="",G82=""),0,C82*G82)</f>
        <v>30</v>
      </c>
    </row>
    <row r="83" spans="1:22" ht="15" hidden="1">
      <c r="A83" s="167" t="s">
        <v>131</v>
      </c>
      <c r="B83" s="168" t="s">
        <v>133</v>
      </c>
      <c r="C83" s="169">
        <v>29</v>
      </c>
      <c r="D83" s="169">
        <v>1</v>
      </c>
      <c r="E83" s="170">
        <v>770</v>
      </c>
      <c r="F83" s="62">
        <f>IF($N$67="","",IF($N$67="INDUSTRIAL",IF(OR($D$65="",$D$71=""),"",IF(OR(D83&gt;$D$72,E83&gt;$D$73),"Rev. Total. abona.",IF(D83="",IF(E83="","",E83/(0.9*1000)),IF(OR($D$65="SAN CRISTOBAL",$D$65="FLOREANA"),VLOOKUP(D83,'Estratos SCY - FLO'!$A$4:$M$108,IF($D$71="A1",2,IF($D$71="A",5,IF($D$71="B",8,11))))+E83/(0.92*1000),VLOOKUP(D83,'Estratos SCX - ISA'!$A$3:$M$107,IF($D$71="A1",2,IF($D$71="A",5,IF($D$71="B",8,11))))+E83/(0.92*1000))))),IF(OR($D$65="",$D$71=""),"",IF(OR(D83&gt;$D$72,E83&gt;$D$73),"Rev. Total. abona.",IF(D83="",IF(E83="","",E83/(0.92*1000)),IF(OR($D$65="SAN CRISTOBAL",$D$65="FLOREANA"),VLOOKUP(D83,'Estratos SCY - FLO'!$O$4:$S$108,IF($D$71="A1",2,IF($D$71="A",3,IF($D$71="B",4,5))))+E83/(0.92*1000),VLOOKUP(D83,'Estratos SCX - ISA'!$O$4:$S$108,IF($D$71="A1",2,IF($D$71="A",3,IF($D$71="B",4,5))))+E83/(0.92*1000)))))))</f>
        <v>8.47695652173913</v>
      </c>
      <c r="G83" s="59">
        <f aca="true" t="shared" si="10" ref="G83:G109">IF(OR($N$10="",C83=""),"",IF($N$10="1F",1,3))</f>
        <v>1</v>
      </c>
      <c r="H83" s="183" t="s">
        <v>0</v>
      </c>
      <c r="I83" s="183" t="s">
        <v>0</v>
      </c>
      <c r="J83" s="59">
        <f>IF(OR(H83="",$D$10="",$N$10=""),"",IF($D$10="COBRE",VLOOKUP(CDV_PROY_BT!H83,FDV!$B$16:$E$24,IF(CDV_PROY_BT!$N$10="3F",3,4),FALSE),IF($D$10="ACS",VLOOKUP(CDV_PROY_BT!H83,FDV!$B$10:$E$15,IF(CDV_PROY_BT!$N$10="3F",3,4),FALSE),IF($D$10="5005 (PREENSAMBLADO)",VLOOKUP(CDV_PROY_BT!H83,FDV!$B$4:$E$9,IF(CDV_PROY_BT!$N$10="3F",3,4),FALSE),VLOOKUP(CDV_PROY_BT!H83,FDV!$B$25:$E$30,IF(CDV_PROY_BT!$N$10="3F",3,4),FALSE)))))</f>
        <v>412</v>
      </c>
      <c r="K83" s="63">
        <f t="shared" si="9"/>
        <v>246</v>
      </c>
      <c r="L83" s="62">
        <f aca="true" t="shared" si="11" ref="L83:L108">IF($N$19="","",IF(C83="","",ROUND(K83/J83,2)))</f>
        <v>0.6</v>
      </c>
      <c r="M83" s="62">
        <f aca="true" t="shared" si="12" ref="M83:M108">IF(C83="","",VLOOKUP(A83,$B$82:$N$109,12,FALSE)+L83)</f>
        <v>3.94</v>
      </c>
      <c r="N83" s="155"/>
      <c r="U83" s="138">
        <f aca="true" t="shared" si="13" ref="U83:U108">+IF(C83="",0,C83)</f>
        <v>29</v>
      </c>
      <c r="V83" s="138">
        <f aca="true" t="shared" si="14" ref="V83:V108">IF(OR(C83="",G83=""),0,C83*G83)</f>
        <v>29</v>
      </c>
    </row>
    <row r="84" spans="1:22" ht="15" hidden="1">
      <c r="A84" s="167" t="s">
        <v>133</v>
      </c>
      <c r="B84" s="168" t="s">
        <v>134</v>
      </c>
      <c r="C84" s="169">
        <v>29</v>
      </c>
      <c r="D84" s="169"/>
      <c r="E84" s="170">
        <v>660</v>
      </c>
      <c r="F84" s="58">
        <f>IF($N$67="","",IF($N$67="INDUSTRIAL",IF(OR($D$65="",$D$71=""),"",IF(OR(D84&gt;$D$72,E84&gt;$D$73),"Rev. Total. abona.",IF(D84="",IF(E84="","",E84/(0.9*1000)),IF(OR($D$65="SAN CRISTOBAL",$D$65="FLOREANA"),VLOOKUP(D84,'Estratos SCY - FLO'!$A$4:$M$108,IF($D$71="A1",2,IF($D$71="A",5,IF($D$71="B",8,11))))+E84/(0.92*1000),VLOOKUP(D84,'Estratos SCX - ISA'!$A$3:$M$107,IF($D$71="A1",2,IF($D$71="A",5,IF($D$71="B",8,11))))+E84/(0.92*1000))))),IF(OR($D$65="",$D$71=""),"",IF(OR(D84&gt;$D$72,E84&gt;$D$73),"Rev. Total. abona.",IF(D84="",IF(E84="","",E84/(0.92*1000)),IF(OR($D$65="SAN CRISTOBAL",$D$65="FLOREANA"),VLOOKUP(D84,'Estratos SCY - FLO'!$O$4:$S$108,IF($D$71="A1",2,IF($D$71="A",3,IF($D$71="B",4,5))))+E84/(0.92*1000),VLOOKUP(D84,'Estratos SCX - ISA'!$O$4:$S$108,IF($D$71="A1",2,IF($D$71="A",3,IF($D$71="B",4,5))))+E84/(0.92*1000)))))))</f>
        <v>0.7333333333333333</v>
      </c>
      <c r="G84" s="59">
        <f t="shared" si="10"/>
        <v>1</v>
      </c>
      <c r="H84" s="183" t="s">
        <v>0</v>
      </c>
      <c r="I84" s="183" t="s">
        <v>0</v>
      </c>
      <c r="J84" s="59">
        <f>IF(OR(H84="",$D$10="",$N$10=""),"",IF($D$10="COBRE",VLOOKUP(CDV_PROY_BT!H84,FDV!$B$16:$E$24,IF(CDV_PROY_BT!$N$10="3F",3,4),FALSE),IF($D$10="ACS",VLOOKUP(CDV_PROY_BT!H84,FDV!$B$10:$E$15,IF(CDV_PROY_BT!$N$10="3F",3,4),FALSE),IF($D$10="5005 (PREENSAMBLADO)",VLOOKUP(CDV_PROY_BT!H84,FDV!$B$4:$E$9,IF(CDV_PROY_BT!$N$10="3F",3,4),FALSE),VLOOKUP(CDV_PROY_BT!H84,FDV!$B$25:$E$30,IF(CDV_PROY_BT!$N$10="3F",3,4),FALSE)))))</f>
        <v>412</v>
      </c>
      <c r="K84" s="63">
        <f t="shared" si="9"/>
        <v>21</v>
      </c>
      <c r="L84" s="62">
        <f t="shared" si="11"/>
        <v>0.05</v>
      </c>
      <c r="M84" s="62">
        <f t="shared" si="12"/>
        <v>3.9899999999999998</v>
      </c>
      <c r="N84" s="155"/>
      <c r="U84" s="138">
        <f t="shared" si="13"/>
        <v>29</v>
      </c>
      <c r="V84" s="138">
        <f t="shared" si="14"/>
        <v>29</v>
      </c>
    </row>
    <row r="85" spans="1:22" ht="15" hidden="1">
      <c r="A85" s="167" t="s">
        <v>134</v>
      </c>
      <c r="B85" s="168" t="s">
        <v>135</v>
      </c>
      <c r="C85" s="169">
        <v>28</v>
      </c>
      <c r="D85" s="169"/>
      <c r="E85" s="170">
        <v>550</v>
      </c>
      <c r="F85" s="58">
        <f>IF($N$67="","",IF($N$67="INDUSTRIAL",IF(OR($D$65="",$D$71=""),"",IF(OR(D85&gt;$D$72,E85&gt;$D$73),"Rev. Total. abona.",IF(D85="",IF(E85="","",E85/(0.9*1000)),IF(OR($D$65="SAN CRISTOBAL",$D$65="FLOREANA"),VLOOKUP(D85,'Estratos SCY - FLO'!$A$4:$M$108,IF($D$71="A1",2,IF($D$71="A",5,IF($D$71="B",8,11))))+E85/(0.92*1000),VLOOKUP(D85,'Estratos SCX - ISA'!$A$3:$M$107,IF($D$71="A1",2,IF($D$71="A",5,IF($D$71="B",8,11))))+E85/(0.92*1000))))),IF(OR($D$65="",$D$71=""),"",IF(OR(D85&gt;$D$72,E85&gt;$D$73),"Rev. Total. abona.",IF(D85="",IF(E85="","",E85/(0.92*1000)),IF(OR($D$65="SAN CRISTOBAL",$D$65="FLOREANA"),VLOOKUP(D85,'Estratos SCY - FLO'!$O$4:$S$108,IF($D$71="A1",2,IF($D$71="A",3,IF($D$71="B",4,5))))+E85/(0.92*1000),VLOOKUP(D85,'Estratos SCX - ISA'!$O$4:$S$108,IF($D$71="A1",2,IF($D$71="A",3,IF($D$71="B",4,5))))+E85/(0.92*1000)))))))</f>
        <v>0.6111111111111112</v>
      </c>
      <c r="G85" s="59">
        <f t="shared" si="10"/>
        <v>1</v>
      </c>
      <c r="H85" s="183" t="s">
        <v>0</v>
      </c>
      <c r="I85" s="183" t="s">
        <v>0</v>
      </c>
      <c r="J85" s="59">
        <f>IF(OR(H85="",$D$10="",$N$10=""),"",IF($D$10="COBRE",VLOOKUP(CDV_PROY_BT!H85,FDV!$B$16:$E$24,IF(CDV_PROY_BT!$N$10="3F",3,4),FALSE),IF($D$10="ACS",VLOOKUP(CDV_PROY_BT!H85,FDV!$B$10:$E$15,IF(CDV_PROY_BT!$N$10="3F",3,4),FALSE),IF($D$10="5005 (PREENSAMBLADO)",VLOOKUP(CDV_PROY_BT!H85,FDV!$B$4:$E$9,IF(CDV_PROY_BT!$N$10="3F",3,4),FALSE),VLOOKUP(CDV_PROY_BT!H85,FDV!$B$25:$E$30,IF(CDV_PROY_BT!$N$10="3F",3,4),FALSE)))))</f>
        <v>412</v>
      </c>
      <c r="K85" s="63">
        <f t="shared" si="9"/>
        <v>17</v>
      </c>
      <c r="L85" s="62">
        <f t="shared" si="11"/>
        <v>0.04</v>
      </c>
      <c r="M85" s="62">
        <f t="shared" si="12"/>
        <v>4.029999999999999</v>
      </c>
      <c r="N85" s="155"/>
      <c r="U85" s="138">
        <f t="shared" si="13"/>
        <v>28</v>
      </c>
      <c r="V85" s="138">
        <f t="shared" si="14"/>
        <v>28</v>
      </c>
    </row>
    <row r="86" spans="1:22" ht="15" hidden="1">
      <c r="A86" s="167" t="s">
        <v>135</v>
      </c>
      <c r="B86" s="168" t="s">
        <v>136</v>
      </c>
      <c r="C86" s="169">
        <v>30</v>
      </c>
      <c r="D86" s="169"/>
      <c r="E86" s="170">
        <v>440</v>
      </c>
      <c r="F86" s="58">
        <f>IF($N$67="","",IF($N$67="INDUSTRIAL",IF(OR($D$65="",$D$71=""),"",IF(OR(D86&gt;$D$72,E86&gt;$D$73),"Rev. Total. abona.",IF(D86="",IF(E86="","",E86/(0.9*1000)),IF(OR($D$65="SAN CRISTOBAL",$D$65="FLOREANA"),VLOOKUP(D86,'Estratos SCY - FLO'!$A$4:$M$108,IF($D$71="A1",2,IF($D$71="A",5,IF($D$71="B",8,11))))+E86/(0.92*1000),VLOOKUP(D86,'Estratos SCX - ISA'!$A$3:$M$107,IF($D$71="A1",2,IF($D$71="A",5,IF($D$71="B",8,11))))+E86/(0.92*1000))))),IF(OR($D$65="",$D$71=""),"",IF(OR(D86&gt;$D$72,E86&gt;$D$73),"Rev. Total. abona.",IF(D86="",IF(E86="","",E86/(0.92*1000)),IF(OR($D$65="SAN CRISTOBAL",$D$65="FLOREANA"),VLOOKUP(D86,'Estratos SCY - FLO'!$O$4:$S$108,IF($D$71="A1",2,IF($D$71="A",3,IF($D$71="B",4,5))))+E86/(0.92*1000),VLOOKUP(D86,'Estratos SCX - ISA'!$O$4:$S$108,IF($D$71="A1",2,IF($D$71="A",3,IF($D$71="B",4,5))))+E86/(0.92*1000)))))))</f>
        <v>0.4888888888888889</v>
      </c>
      <c r="G86" s="59">
        <f t="shared" si="10"/>
        <v>1</v>
      </c>
      <c r="H86" s="183" t="s">
        <v>0</v>
      </c>
      <c r="I86" s="183" t="s">
        <v>0</v>
      </c>
      <c r="J86" s="59">
        <f>IF(OR(H86="",$D$10="",$N$10=""),"",IF($D$10="COBRE",VLOOKUP(CDV_PROY_BT!H86,FDV!$B$16:$E$24,IF(CDV_PROY_BT!$N$10="3F",3,4),FALSE),IF($D$10="ACS",VLOOKUP(CDV_PROY_BT!H86,FDV!$B$10:$E$15,IF(CDV_PROY_BT!$N$10="3F",3,4),FALSE),IF($D$10="5005 (PREENSAMBLADO)",VLOOKUP(CDV_PROY_BT!H86,FDV!$B$4:$E$9,IF(CDV_PROY_BT!$N$10="3F",3,4),FALSE),VLOOKUP(CDV_PROY_BT!H86,FDV!$B$25:$E$30,IF(CDV_PROY_BT!$N$10="3F",3,4),FALSE)))))</f>
        <v>412</v>
      </c>
      <c r="K86" s="63">
        <f t="shared" si="9"/>
        <v>15</v>
      </c>
      <c r="L86" s="62">
        <f t="shared" si="11"/>
        <v>0.04</v>
      </c>
      <c r="M86" s="62">
        <f t="shared" si="12"/>
        <v>4.069999999999999</v>
      </c>
      <c r="N86" s="155"/>
      <c r="U86" s="138">
        <f t="shared" si="13"/>
        <v>30</v>
      </c>
      <c r="V86" s="138">
        <f t="shared" si="14"/>
        <v>30</v>
      </c>
    </row>
    <row r="87" spans="1:22" ht="15" hidden="1">
      <c r="A87" s="167" t="s">
        <v>136</v>
      </c>
      <c r="B87" s="168" t="s">
        <v>137</v>
      </c>
      <c r="C87" s="169">
        <v>28</v>
      </c>
      <c r="D87" s="169"/>
      <c r="E87" s="170">
        <v>220</v>
      </c>
      <c r="F87" s="58">
        <f>IF($N$67="","",IF($N$67="INDUSTRIAL",IF(OR($D$65="",$D$71=""),"",IF(OR(D87&gt;$D$72,E87&gt;$D$73),"Rev. Total. abona.",IF(D87="",IF(E87="","",E87/(0.9*1000)),IF(OR($D$65="SAN CRISTOBAL",$D$65="FLOREANA"),VLOOKUP(D87,'Estratos SCY - FLO'!$A$4:$M$108,IF($D$71="A1",2,IF($D$71="A",5,IF($D$71="B",8,11))))+E87/(0.92*1000),VLOOKUP(D87,'Estratos SCX - ISA'!$A$3:$M$107,IF($D$71="A1",2,IF($D$71="A",5,IF($D$71="B",8,11))))+E87/(0.92*1000))))),IF(OR($D$65="",$D$71=""),"",IF(OR(D87&gt;$D$72,E87&gt;$D$73),"Rev. Total. abona.",IF(D87="",IF(E87="","",E87/(0.92*1000)),IF(OR($D$65="SAN CRISTOBAL",$D$65="FLOREANA"),VLOOKUP(D87,'Estratos SCY - FLO'!$O$4:$S$108,IF($D$71="A1",2,IF($D$71="A",3,IF($D$71="B",4,5))))+E87/(0.92*1000),VLOOKUP(D87,'Estratos SCX - ISA'!$O$4:$S$108,IF($D$71="A1",2,IF($D$71="A",3,IF($D$71="B",4,5))))+E87/(0.92*1000)))))))</f>
        <v>0.24444444444444444</v>
      </c>
      <c r="G87" s="59">
        <f t="shared" si="10"/>
        <v>1</v>
      </c>
      <c r="H87" s="183" t="s">
        <v>0</v>
      </c>
      <c r="I87" s="183" t="s">
        <v>0</v>
      </c>
      <c r="J87" s="59">
        <f>IF(OR(H87="",$D$10="",$N$10=""),"",IF($D$10="COBRE",VLOOKUP(CDV_PROY_BT!H87,FDV!$B$16:$E$24,IF(CDV_PROY_BT!$N$10="3F",3,4),FALSE),IF($D$10="ACS",VLOOKUP(CDV_PROY_BT!H87,FDV!$B$10:$E$15,IF(CDV_PROY_BT!$N$10="3F",3,4),FALSE),IF($D$10="5005 (PREENSAMBLADO)",VLOOKUP(CDV_PROY_BT!H87,FDV!$B$4:$E$9,IF(CDV_PROY_BT!$N$10="3F",3,4),FALSE),VLOOKUP(CDV_PROY_BT!H87,FDV!$B$25:$E$30,IF(CDV_PROY_BT!$N$10="3F",3,4),FALSE)))))</f>
        <v>412</v>
      </c>
      <c r="K87" s="63">
        <f t="shared" si="9"/>
        <v>7</v>
      </c>
      <c r="L87" s="62">
        <f t="shared" si="11"/>
        <v>0.02</v>
      </c>
      <c r="M87" s="62">
        <f t="shared" si="12"/>
        <v>4.089999999999999</v>
      </c>
      <c r="N87" s="155"/>
      <c r="U87" s="138">
        <f t="shared" si="13"/>
        <v>28</v>
      </c>
      <c r="V87" s="138">
        <f t="shared" si="14"/>
        <v>28</v>
      </c>
    </row>
    <row r="88" spans="1:22" ht="15" hidden="1">
      <c r="A88" s="167" t="s">
        <v>137</v>
      </c>
      <c r="B88" s="168" t="s">
        <v>138</v>
      </c>
      <c r="C88" s="169">
        <v>27</v>
      </c>
      <c r="D88" s="169"/>
      <c r="E88" s="170">
        <v>110</v>
      </c>
      <c r="F88" s="58">
        <f>IF($N$67="","",IF($N$67="INDUSTRIAL",IF(OR($D$65="",$D$71=""),"",IF(OR(D88&gt;$D$72,E88&gt;$D$73),"Rev. Total. abona.",IF(D88="",IF(E88="","",E88/(0.9*1000)),IF(OR($D$65="SAN CRISTOBAL",$D$65="FLOREANA"),VLOOKUP(D88,'Estratos SCY - FLO'!$A$4:$M$108,IF($D$71="A1",2,IF($D$71="A",5,IF($D$71="B",8,11))))+E88/(0.92*1000),VLOOKUP(D88,'Estratos SCX - ISA'!$A$3:$M$107,IF($D$71="A1",2,IF($D$71="A",5,IF($D$71="B",8,11))))+E88/(0.92*1000))))),IF(OR($D$65="",$D$71=""),"",IF(OR(D88&gt;$D$72,E88&gt;$D$73),"Rev. Total. abona.",IF(D88="",IF(E88="","",E88/(0.92*1000)),IF(OR($D$65="SAN CRISTOBAL",$D$65="FLOREANA"),VLOOKUP(D88,'Estratos SCY - FLO'!$O$4:$S$108,IF($D$71="A1",2,IF($D$71="A",3,IF($D$71="B",4,5))))+E88/(0.92*1000),VLOOKUP(D88,'Estratos SCX - ISA'!$O$4:$S$108,IF($D$71="A1",2,IF($D$71="A",3,IF($D$71="B",4,5))))+E88/(0.92*1000)))))))</f>
        <v>0.12222222222222222</v>
      </c>
      <c r="G88" s="59">
        <f t="shared" si="10"/>
        <v>1</v>
      </c>
      <c r="H88" s="183" t="s">
        <v>0</v>
      </c>
      <c r="I88" s="183" t="s">
        <v>0</v>
      </c>
      <c r="J88" s="59">
        <f>IF(OR(H88="",$D$10="",$N$10=""),"",IF($D$10="COBRE",VLOOKUP(CDV_PROY_BT!H88,FDV!$B$16:$E$24,IF(CDV_PROY_BT!$N$10="3F",3,4),FALSE),IF($D$10="ACS",VLOOKUP(CDV_PROY_BT!H88,FDV!$B$10:$E$15,IF(CDV_PROY_BT!$N$10="3F",3,4),FALSE),IF($D$10="5005 (PREENSAMBLADO)",VLOOKUP(CDV_PROY_BT!H88,FDV!$B$4:$E$9,IF(CDV_PROY_BT!$N$10="3F",3,4),FALSE),VLOOKUP(CDV_PROY_BT!H88,FDV!$B$25:$E$30,IF(CDV_PROY_BT!$N$10="3F",3,4),FALSE)))))</f>
        <v>412</v>
      </c>
      <c r="K88" s="63">
        <f t="shared" si="9"/>
        <v>3</v>
      </c>
      <c r="L88" s="62">
        <f t="shared" si="11"/>
        <v>0.01</v>
      </c>
      <c r="M88" s="62">
        <f t="shared" si="12"/>
        <v>4.099999999999999</v>
      </c>
      <c r="N88" s="155">
        <f>+M88</f>
        <v>4.099999999999999</v>
      </c>
      <c r="U88" s="138">
        <f t="shared" si="13"/>
        <v>27</v>
      </c>
      <c r="V88" s="138">
        <f t="shared" si="14"/>
        <v>27</v>
      </c>
    </row>
    <row r="89" spans="1:22" ht="15" hidden="1">
      <c r="A89" s="167"/>
      <c r="B89" s="168"/>
      <c r="C89" s="169"/>
      <c r="D89" s="169"/>
      <c r="E89" s="170"/>
      <c r="F89" s="58" t="str">
        <f>IF($N$67="","",IF($N$67="INDUSTRIAL",IF(OR($D$65="",$D$71=""),"",IF(OR(D89&gt;$D$72,E89&gt;$D$73),"Rev. Total. abona.",IF(D89="",IF(E89="","",E89/(0.9*1000)),IF(OR($D$65="SAN CRISTOBAL",$D$65="FLOREANA"),VLOOKUP(D89,'Estratos SCY - FLO'!$A$4:$M$108,IF($D$71="A1",2,IF($D$71="A",5,IF($D$71="B",8,11))))+E89/(0.92*1000),VLOOKUP(D89,'Estratos SCX - ISA'!$A$3:$M$107,IF($D$71="A1",2,IF($D$71="A",5,IF($D$71="B",8,11))))+E89/(0.92*1000))))),IF(OR($D$65="",$D$71=""),"",IF(OR(D89&gt;$D$72,E89&gt;$D$73),"Rev. Total. abona.",IF(D89="",IF(E89="","",E89/(0.92*1000)),IF(OR($D$65="SAN CRISTOBAL",$D$65="FLOREANA"),VLOOKUP(D89,'Estratos SCY - FLO'!$O$4:$S$108,IF($D$71="A1",2,IF($D$71="A",3,IF($D$71="B",4,5))))+E89/(0.92*1000),VLOOKUP(D89,'Estratos SCX - ISA'!$O$4:$S$108,IF($D$71="A1",2,IF($D$71="A",3,IF($D$71="B",4,5))))+E89/(0.92*1000)))))))</f>
        <v/>
      </c>
      <c r="G89" s="59" t="str">
        <f t="shared" si="10"/>
        <v/>
      </c>
      <c r="H89" s="183"/>
      <c r="I89" s="183"/>
      <c r="J89" s="59" t="str">
        <f>IF(OR(H89="",$D$10="",$N$10=""),"",IF($D$10="COBRE",VLOOKUP(CDV_PROY_BT!H89,FDV!$B$16:$E$24,IF(CDV_PROY_BT!$N$10="3F",3,4),FALSE),IF($D$10="ACS",VLOOKUP(CDV_PROY_BT!H89,FDV!$B$10:$E$15,IF(CDV_PROY_BT!$N$10="3F",3,4),FALSE),IF($D$10="5005 (PREENSAMBLADO)",VLOOKUP(CDV_PROY_BT!H89,FDV!$B$4:$E$9,IF(CDV_PROY_BT!$N$10="3F",3,4),FALSE),VLOOKUP(CDV_PROY_BT!H89,FDV!$B$25:$E$30,IF(CDV_PROY_BT!$N$10="3F",3,4),FALSE)))))</f>
        <v/>
      </c>
      <c r="K89" s="63" t="str">
        <f t="shared" si="9"/>
        <v/>
      </c>
      <c r="L89" s="62" t="str">
        <f t="shared" si="11"/>
        <v/>
      </c>
      <c r="M89" s="62" t="str">
        <f t="shared" si="12"/>
        <v/>
      </c>
      <c r="N89" s="155"/>
      <c r="U89" s="138">
        <f t="shared" si="13"/>
        <v>0</v>
      </c>
      <c r="V89" s="138">
        <f t="shared" si="14"/>
        <v>0</v>
      </c>
    </row>
    <row r="90" spans="1:22" ht="15" hidden="1">
      <c r="A90" s="171"/>
      <c r="B90" s="172"/>
      <c r="C90" s="173"/>
      <c r="D90" s="173"/>
      <c r="E90" s="170"/>
      <c r="F90" s="58" t="str">
        <f>IF($N$67="","",IF($N$67="INDUSTRIAL",IF(OR($D$65="",$D$71=""),"",IF(OR(D90&gt;$D$72,E90&gt;$D$73),"Rev. Total. abona.",IF(D90="",IF(E90="","",E90/(0.9*1000)),IF(OR($D$65="SAN CRISTOBAL",$D$65="FLOREANA"),VLOOKUP(D90,'Estratos SCY - FLO'!$A$4:$M$108,IF($D$71="A1",2,IF($D$71="A",5,IF($D$71="B",8,11))))+E90/(0.92*1000),VLOOKUP(D90,'Estratos SCX - ISA'!$A$3:$M$107,IF($D$71="A1",2,IF($D$71="A",5,IF($D$71="B",8,11))))+E90/(0.92*1000))))),IF(OR($D$65="",$D$71=""),"",IF(OR(D90&gt;$D$72,E90&gt;$D$73),"Rev. Total. abona.",IF(D90="",IF(E90="","",E90/(0.92*1000)),IF(OR($D$65="SAN CRISTOBAL",$D$65="FLOREANA"),VLOOKUP(D90,'Estratos SCY - FLO'!$O$4:$S$108,IF($D$71="A1",2,IF($D$71="A",3,IF($D$71="B",4,5))))+E90/(0.92*1000),VLOOKUP(D90,'Estratos SCX - ISA'!$O$4:$S$108,IF($D$71="A1",2,IF($D$71="A",3,IF($D$71="B",4,5))))+E90/(0.92*1000)))))))</f>
        <v/>
      </c>
      <c r="G90" s="59" t="str">
        <f t="shared" si="10"/>
        <v/>
      </c>
      <c r="H90" s="183"/>
      <c r="I90" s="183"/>
      <c r="J90" s="59" t="str">
        <f>IF(OR(H90="",$D$10="",$N$10=""),"",IF($D$10="COBRE",VLOOKUP(CDV_PROY_BT!H90,FDV!$B$16:$E$24,IF(CDV_PROY_BT!$N$10="3F",3,4),FALSE),IF($D$10="ACS",VLOOKUP(CDV_PROY_BT!H90,FDV!$B$10:$E$15,IF(CDV_PROY_BT!$N$10="3F",3,4),FALSE),IF($D$10="5005 (PREENSAMBLADO)",VLOOKUP(CDV_PROY_BT!H90,FDV!$B$4:$E$9,IF(CDV_PROY_BT!$N$10="3F",3,4),FALSE),VLOOKUP(CDV_PROY_BT!H90,FDV!$B$25:$E$30,IF(CDV_PROY_BT!$N$10="3F",3,4),FALSE)))))</f>
        <v/>
      </c>
      <c r="K90" s="63" t="str">
        <f t="shared" si="9"/>
        <v/>
      </c>
      <c r="L90" s="62" t="str">
        <f t="shared" si="11"/>
        <v/>
      </c>
      <c r="M90" s="62" t="str">
        <f t="shared" si="12"/>
        <v/>
      </c>
      <c r="N90" s="155"/>
      <c r="U90" s="138">
        <f t="shared" si="13"/>
        <v>0</v>
      </c>
      <c r="V90" s="138">
        <f t="shared" si="14"/>
        <v>0</v>
      </c>
    </row>
    <row r="91" spans="1:22" ht="15" hidden="1">
      <c r="A91" s="167"/>
      <c r="B91" s="168"/>
      <c r="C91" s="169"/>
      <c r="D91" s="169"/>
      <c r="E91" s="174"/>
      <c r="F91" s="58" t="str">
        <f>IF($N$67="","",IF($N$67="INDUSTRIAL",IF(OR($D$65="",$D$71=""),"",IF(OR(D91&gt;$D$72,E91&gt;$D$73),"Rev. Total. abona.",IF(D91="",IF(E91="","",E91/(0.9*1000)),IF(OR($D$65="SAN CRISTOBAL",$D$65="FLOREANA"),VLOOKUP(D91,'Estratos SCY - FLO'!$A$4:$M$108,IF($D$71="A1",2,IF($D$71="A",5,IF($D$71="B",8,11))))+E91/(0.92*1000),VLOOKUP(D91,'Estratos SCX - ISA'!$A$3:$M$107,IF($D$71="A1",2,IF($D$71="A",5,IF($D$71="B",8,11))))+E91/(0.92*1000))))),IF(OR($D$65="",$D$71=""),"",IF(OR(D91&gt;$D$72,E91&gt;$D$73),"Rev. Total. abona.",IF(D91="",IF(E91="","",E91/(0.92*1000)),IF(OR($D$65="SAN CRISTOBAL",$D$65="FLOREANA"),VLOOKUP(D91,'Estratos SCY - FLO'!$O$4:$S$108,IF($D$71="A1",2,IF($D$71="A",3,IF($D$71="B",4,5))))+E91/(0.92*1000),VLOOKUP(D91,'Estratos SCX - ISA'!$O$4:$S$108,IF($D$71="A1",2,IF($D$71="A",3,IF($D$71="B",4,5))))+E91/(0.92*1000)))))))</f>
        <v/>
      </c>
      <c r="G91" s="59" t="str">
        <f t="shared" si="10"/>
        <v/>
      </c>
      <c r="H91" s="183"/>
      <c r="I91" s="183"/>
      <c r="J91" s="59" t="str">
        <f>IF(OR(H91="",$D$10="",$N$10=""),"",IF($D$10="COBRE",VLOOKUP(CDV_PROY_BT!H91,FDV!$B$16:$E$24,IF(CDV_PROY_BT!$N$10="3F",3,4),FALSE),IF($D$10="ACS",VLOOKUP(CDV_PROY_BT!H91,FDV!$B$10:$E$15,IF(CDV_PROY_BT!$N$10="3F",3,4),FALSE),IF($D$10="5005 (PREENSAMBLADO)",VLOOKUP(CDV_PROY_BT!H91,FDV!$B$4:$E$9,IF(CDV_PROY_BT!$N$10="3F",3,4),FALSE),VLOOKUP(CDV_PROY_BT!H91,FDV!$B$25:$E$30,IF(CDV_PROY_BT!$N$10="3F",3,4),FALSE)))))</f>
        <v/>
      </c>
      <c r="K91" s="63" t="str">
        <f t="shared" si="9"/>
        <v/>
      </c>
      <c r="L91" s="62" t="str">
        <f t="shared" si="11"/>
        <v/>
      </c>
      <c r="M91" s="62" t="str">
        <f t="shared" si="12"/>
        <v/>
      </c>
      <c r="N91" s="155"/>
      <c r="U91" s="138">
        <f t="shared" si="13"/>
        <v>0</v>
      </c>
      <c r="V91" s="138">
        <f t="shared" si="14"/>
        <v>0</v>
      </c>
    </row>
    <row r="92" spans="1:22" ht="15" hidden="1">
      <c r="A92" s="175"/>
      <c r="B92" s="176"/>
      <c r="C92" s="177"/>
      <c r="D92" s="177"/>
      <c r="E92" s="170"/>
      <c r="F92" s="58" t="str">
        <f>IF($N$67="","",IF($N$67="INDUSTRIAL",IF(OR($D$65="",$D$71=""),"",IF(OR(D92&gt;$D$72,E92&gt;$D$73),"Rev. Total. abona.",IF(D92="",IF(E92="","",E92/(0.9*1000)),IF(OR($D$65="SAN CRISTOBAL",$D$65="FLOREANA"),VLOOKUP(D92,'Estratos SCY - FLO'!$A$4:$M$108,IF($D$71="A1",2,IF($D$71="A",5,IF($D$71="B",8,11))))+E92/(0.92*1000),VLOOKUP(D92,'Estratos SCX - ISA'!$A$3:$M$107,IF($D$71="A1",2,IF($D$71="A",5,IF($D$71="B",8,11))))+E92/(0.92*1000))))),IF(OR($D$65="",$D$71=""),"",IF(OR(D92&gt;$D$72,E92&gt;$D$73),"Rev. Total. abona.",IF(D92="",IF(E92="","",E92/(0.92*1000)),IF(OR($D$65="SAN CRISTOBAL",$D$65="FLOREANA"),VLOOKUP(D92,'Estratos SCY - FLO'!$O$4:$S$108,IF($D$71="A1",2,IF($D$71="A",3,IF($D$71="B",4,5))))+E92/(0.92*1000),VLOOKUP(D92,'Estratos SCX - ISA'!$O$4:$S$108,IF($D$71="A1",2,IF($D$71="A",3,IF($D$71="B",4,5))))+E92/(0.92*1000)))))))</f>
        <v/>
      </c>
      <c r="G92" s="59" t="str">
        <f t="shared" si="10"/>
        <v/>
      </c>
      <c r="H92" s="183"/>
      <c r="I92" s="183"/>
      <c r="J92" s="59" t="str">
        <f>IF(OR(H92="",$D$10="",$N$10=""),"",IF($D$10="COBRE",VLOOKUP(CDV_PROY_BT!H92,FDV!$B$16:$E$24,IF(CDV_PROY_BT!$N$10="3F",3,4),FALSE),IF($D$10="ACS",VLOOKUP(CDV_PROY_BT!H92,FDV!$B$10:$E$15,IF(CDV_PROY_BT!$N$10="3F",3,4),FALSE),IF($D$10="5005 (PREENSAMBLADO)",VLOOKUP(CDV_PROY_BT!H92,FDV!$B$4:$E$9,IF(CDV_PROY_BT!$N$10="3F",3,4),FALSE),VLOOKUP(CDV_PROY_BT!H92,FDV!$B$25:$E$30,IF(CDV_PROY_BT!$N$10="3F",3,4),FALSE)))))</f>
        <v/>
      </c>
      <c r="K92" s="63" t="str">
        <f t="shared" si="9"/>
        <v/>
      </c>
      <c r="L92" s="62" t="str">
        <f t="shared" si="11"/>
        <v/>
      </c>
      <c r="M92" s="62" t="str">
        <f t="shared" si="12"/>
        <v/>
      </c>
      <c r="N92" s="155"/>
      <c r="U92" s="138">
        <f t="shared" si="13"/>
        <v>0</v>
      </c>
      <c r="V92" s="138">
        <f t="shared" si="14"/>
        <v>0</v>
      </c>
    </row>
    <row r="93" spans="1:22" ht="15" hidden="1">
      <c r="A93" s="167"/>
      <c r="B93" s="168"/>
      <c r="C93" s="169"/>
      <c r="D93" s="169"/>
      <c r="E93" s="170"/>
      <c r="F93" s="58" t="str">
        <f>IF($N$67="","",IF($N$67="INDUSTRIAL",IF(OR($D$65="",$D$71=""),"",IF(OR(D93&gt;$D$72,E93&gt;$D$73),"Rev. Total. abona.",IF(D93="",IF(E93="","",E93/(0.9*1000)),IF(OR($D$65="SAN CRISTOBAL",$D$65="FLOREANA"),VLOOKUP(D93,'Estratos SCY - FLO'!$A$4:$M$108,IF($D$71="A1",2,IF($D$71="A",5,IF($D$71="B",8,11))))+E93/(0.92*1000),VLOOKUP(D93,'Estratos SCX - ISA'!$A$3:$M$107,IF($D$71="A1",2,IF($D$71="A",5,IF($D$71="B",8,11))))+E93/(0.92*1000))))),IF(OR($D$65="",$D$71=""),"",IF(OR(D93&gt;$D$72,E93&gt;$D$73),"Rev. Total. abona.",IF(D93="",IF(E93="","",E93/(0.92*1000)),IF(OR($D$65="SAN CRISTOBAL",$D$65="FLOREANA"),VLOOKUP(D93,'Estratos SCY - FLO'!$O$4:$S$108,IF($D$71="A1",2,IF($D$71="A",3,IF($D$71="B",4,5))))+E93/(0.92*1000),VLOOKUP(D93,'Estratos SCX - ISA'!$O$4:$S$108,IF($D$71="A1",2,IF($D$71="A",3,IF($D$71="B",4,5))))+E93/(0.92*1000)))))))</f>
        <v/>
      </c>
      <c r="G93" s="59" t="str">
        <f t="shared" si="10"/>
        <v/>
      </c>
      <c r="H93" s="183"/>
      <c r="I93" s="183"/>
      <c r="J93" s="59" t="str">
        <f>IF(OR(H93="",$D$10="",$N$10=""),"",IF($D$10="COBRE",VLOOKUP(CDV_PROY_BT!H93,FDV!$B$16:$E$24,IF(CDV_PROY_BT!$N$10="3F",3,4),FALSE),IF($D$10="ACS",VLOOKUP(CDV_PROY_BT!H93,FDV!$B$10:$E$15,IF(CDV_PROY_BT!$N$10="3F",3,4),FALSE),IF($D$10="5005 (PREENSAMBLADO)",VLOOKUP(CDV_PROY_BT!H93,FDV!$B$4:$E$9,IF(CDV_PROY_BT!$N$10="3F",3,4),FALSE),VLOOKUP(CDV_PROY_BT!H93,FDV!$B$25:$E$30,IF(CDV_PROY_BT!$N$10="3F",3,4),FALSE)))))</f>
        <v/>
      </c>
      <c r="K93" s="63" t="str">
        <f t="shared" si="9"/>
        <v/>
      </c>
      <c r="L93" s="62" t="str">
        <f t="shared" si="11"/>
        <v/>
      </c>
      <c r="M93" s="62" t="str">
        <f t="shared" si="12"/>
        <v/>
      </c>
      <c r="N93" s="155"/>
      <c r="U93" s="138">
        <f t="shared" si="13"/>
        <v>0</v>
      </c>
      <c r="V93" s="138">
        <f t="shared" si="14"/>
        <v>0</v>
      </c>
    </row>
    <row r="94" spans="1:22" ht="15" hidden="1">
      <c r="A94" s="167"/>
      <c r="B94" s="168"/>
      <c r="C94" s="169"/>
      <c r="D94" s="169"/>
      <c r="E94" s="170"/>
      <c r="F94" s="58" t="str">
        <f>IF($N$67="","",IF($N$67="INDUSTRIAL",IF(OR($D$65="",$D$71=""),"",IF(OR(D94&gt;$D$72,E94&gt;$D$73),"Rev. Total. abona.",IF(D94="",IF(E94="","",E94/(0.9*1000)),IF(OR($D$65="SAN CRISTOBAL",$D$65="FLOREANA"),VLOOKUP(D94,'Estratos SCY - FLO'!$A$4:$M$108,IF($D$71="A1",2,IF($D$71="A",5,IF($D$71="B",8,11))))+E94/(0.92*1000),VLOOKUP(D94,'Estratos SCX - ISA'!$A$3:$M$107,IF($D$71="A1",2,IF($D$71="A",5,IF($D$71="B",8,11))))+E94/(0.92*1000))))),IF(OR($D$65="",$D$71=""),"",IF(OR(D94&gt;$D$72,E94&gt;$D$73),"Rev. Total. abona.",IF(D94="",IF(E94="","",E94/(0.92*1000)),IF(OR($D$65="SAN CRISTOBAL",$D$65="FLOREANA"),VLOOKUP(D94,'Estratos SCY - FLO'!$O$4:$S$108,IF($D$71="A1",2,IF($D$71="A",3,IF($D$71="B",4,5))))+E94/(0.92*1000),VLOOKUP(D94,'Estratos SCX - ISA'!$O$4:$S$108,IF($D$71="A1",2,IF($D$71="A",3,IF($D$71="B",4,5))))+E94/(0.92*1000)))))))</f>
        <v/>
      </c>
      <c r="G94" s="59" t="str">
        <f t="shared" si="10"/>
        <v/>
      </c>
      <c r="H94" s="183"/>
      <c r="I94" s="183"/>
      <c r="J94" s="59" t="str">
        <f>IF(OR(H94="",$D$10="",$N$10=""),"",IF($D$10="COBRE",VLOOKUP(CDV_PROY_BT!H94,FDV!$B$16:$E$24,IF(CDV_PROY_BT!$N$10="3F",3,4),FALSE),IF($D$10="ACS",VLOOKUP(CDV_PROY_BT!H94,FDV!$B$10:$E$15,IF(CDV_PROY_BT!$N$10="3F",3,4),FALSE),IF($D$10="5005 (PREENSAMBLADO)",VLOOKUP(CDV_PROY_BT!H94,FDV!$B$4:$E$9,IF(CDV_PROY_BT!$N$10="3F",3,4),FALSE),VLOOKUP(CDV_PROY_BT!H94,FDV!$B$25:$E$30,IF(CDV_PROY_BT!$N$10="3F",3,4),FALSE)))))</f>
        <v/>
      </c>
      <c r="K94" s="63" t="str">
        <f t="shared" si="9"/>
        <v/>
      </c>
      <c r="L94" s="62" t="str">
        <f t="shared" si="11"/>
        <v/>
      </c>
      <c r="M94" s="62" t="str">
        <f t="shared" si="12"/>
        <v/>
      </c>
      <c r="N94" s="155"/>
      <c r="U94" s="138">
        <f t="shared" si="13"/>
        <v>0</v>
      </c>
      <c r="V94" s="138">
        <f t="shared" si="14"/>
        <v>0</v>
      </c>
    </row>
    <row r="95" spans="1:22" ht="15" hidden="1">
      <c r="A95" s="167"/>
      <c r="B95" s="168"/>
      <c r="C95" s="169"/>
      <c r="D95" s="169"/>
      <c r="E95" s="170"/>
      <c r="F95" s="58" t="str">
        <f>IF($N$67="","",IF($N$67="INDUSTRIAL",IF(OR($D$65="",$D$71=""),"",IF(OR(D95&gt;$D$72,E95&gt;$D$73),"Rev. Total. abona.",IF(D95="",IF(E95="","",E95/(0.9*1000)),IF(OR($D$65="SAN CRISTOBAL",$D$65="FLOREANA"),VLOOKUP(D95,'Estratos SCY - FLO'!$A$4:$M$108,IF($D$71="A1",2,IF($D$71="A",5,IF($D$71="B",8,11))))+E95/(0.92*1000),VLOOKUP(D95,'Estratos SCX - ISA'!$A$3:$M$107,IF($D$71="A1",2,IF($D$71="A",5,IF($D$71="B",8,11))))+E95/(0.92*1000))))),IF(OR($D$65="",$D$71=""),"",IF(OR(D95&gt;$D$72,E95&gt;$D$73),"Rev. Total. abona.",IF(D95="",IF(E95="","",E95/(0.92*1000)),IF(OR($D$65="SAN CRISTOBAL",$D$65="FLOREANA"),VLOOKUP(D95,'Estratos SCY - FLO'!$O$4:$S$108,IF($D$71="A1",2,IF($D$71="A",3,IF($D$71="B",4,5))))+E95/(0.92*1000),VLOOKUP(D95,'Estratos SCX - ISA'!$O$4:$S$108,IF($D$71="A1",2,IF($D$71="A",3,IF($D$71="B",4,5))))+E95/(0.92*1000)))))))</f>
        <v/>
      </c>
      <c r="G95" s="59" t="str">
        <f t="shared" si="10"/>
        <v/>
      </c>
      <c r="H95" s="183"/>
      <c r="I95" s="183"/>
      <c r="J95" s="59" t="str">
        <f>IF(OR(H95="",$D$10="",$N$10=""),"",IF($D$10="COBRE",VLOOKUP(CDV_PROY_BT!H95,FDV!$B$16:$E$24,IF(CDV_PROY_BT!$N$10="3F",3,4),FALSE),IF($D$10="ACS",VLOOKUP(CDV_PROY_BT!H95,FDV!$B$10:$E$15,IF(CDV_PROY_BT!$N$10="3F",3,4),FALSE),IF($D$10="5005 (PREENSAMBLADO)",VLOOKUP(CDV_PROY_BT!H95,FDV!$B$4:$E$9,IF(CDV_PROY_BT!$N$10="3F",3,4),FALSE),VLOOKUP(CDV_PROY_BT!H95,FDV!$B$25:$E$30,IF(CDV_PROY_BT!$N$10="3F",3,4),FALSE)))))</f>
        <v/>
      </c>
      <c r="K95" s="63" t="str">
        <f t="shared" si="9"/>
        <v/>
      </c>
      <c r="L95" s="62" t="str">
        <f t="shared" si="11"/>
        <v/>
      </c>
      <c r="M95" s="62" t="str">
        <f t="shared" si="12"/>
        <v/>
      </c>
      <c r="N95" s="155"/>
      <c r="U95" s="138">
        <f t="shared" si="13"/>
        <v>0</v>
      </c>
      <c r="V95" s="138">
        <f t="shared" si="14"/>
        <v>0</v>
      </c>
    </row>
    <row r="96" spans="1:22" ht="15" hidden="1">
      <c r="A96" s="167"/>
      <c r="B96" s="168"/>
      <c r="C96" s="169"/>
      <c r="D96" s="169"/>
      <c r="E96" s="170"/>
      <c r="F96" s="58" t="str">
        <f>IF($N$67="","",IF($N$67="INDUSTRIAL",IF(OR($D$65="",$D$71=""),"",IF(OR(D96&gt;$D$72,E96&gt;$D$73),"Rev. Total. abona.",IF(D96="",IF(E96="","",E96/(0.9*1000)),IF(OR($D$65="SAN CRISTOBAL",$D$65="FLOREANA"),VLOOKUP(D96,'Estratos SCY - FLO'!$A$4:$M$108,IF($D$71="A1",2,IF($D$71="A",5,IF($D$71="B",8,11))))+E96/(0.92*1000),VLOOKUP(D96,'Estratos SCX - ISA'!$A$3:$M$107,IF($D$71="A1",2,IF($D$71="A",5,IF($D$71="B",8,11))))+E96/(0.92*1000))))),IF(OR($D$65="",$D$71=""),"",IF(OR(D96&gt;$D$72,E96&gt;$D$73),"Rev. Total. abona.",IF(D96="",IF(E96="","",E96/(0.92*1000)),IF(OR($D$65="SAN CRISTOBAL",$D$65="FLOREANA"),VLOOKUP(D96,'Estratos SCY - FLO'!$O$4:$S$108,IF($D$71="A1",2,IF($D$71="A",3,IF($D$71="B",4,5))))+E96/(0.92*1000),VLOOKUP(D96,'Estratos SCX - ISA'!$O$4:$S$108,IF($D$71="A1",2,IF($D$71="A",3,IF($D$71="B",4,5))))+E96/(0.92*1000)))))))</f>
        <v/>
      </c>
      <c r="G96" s="59" t="str">
        <f t="shared" si="10"/>
        <v/>
      </c>
      <c r="H96" s="183"/>
      <c r="I96" s="183"/>
      <c r="J96" s="59" t="str">
        <f>IF(OR(H96="",$D$10="",$N$10=""),"",IF($D$10="COBRE",VLOOKUP(CDV_PROY_BT!H96,FDV!$B$16:$E$24,IF(CDV_PROY_BT!$N$10="3F",3,4),FALSE),IF($D$10="ACS",VLOOKUP(CDV_PROY_BT!H96,FDV!$B$10:$E$15,IF(CDV_PROY_BT!$N$10="3F",3,4),FALSE),IF($D$10="5005 (PREENSAMBLADO)",VLOOKUP(CDV_PROY_BT!H96,FDV!$B$4:$E$9,IF(CDV_PROY_BT!$N$10="3F",3,4),FALSE),VLOOKUP(CDV_PROY_BT!H96,FDV!$B$25:$E$30,IF(CDV_PROY_BT!$N$10="3F",3,4),FALSE)))))</f>
        <v/>
      </c>
      <c r="K96" s="63" t="str">
        <f t="shared" si="9"/>
        <v/>
      </c>
      <c r="L96" s="62" t="str">
        <f t="shared" si="11"/>
        <v/>
      </c>
      <c r="M96" s="62" t="str">
        <f t="shared" si="12"/>
        <v/>
      </c>
      <c r="N96" s="155"/>
      <c r="U96" s="138">
        <f t="shared" si="13"/>
        <v>0</v>
      </c>
      <c r="V96" s="138">
        <f t="shared" si="14"/>
        <v>0</v>
      </c>
    </row>
    <row r="97" spans="1:22" ht="15" hidden="1">
      <c r="A97" s="167"/>
      <c r="B97" s="168"/>
      <c r="C97" s="169"/>
      <c r="D97" s="169"/>
      <c r="E97" s="170"/>
      <c r="F97" s="58" t="str">
        <f>IF($N$67="","",IF($N$67="INDUSTRIAL",IF(OR($D$65="",$D$71=""),"",IF(OR(D97&gt;$D$72,E97&gt;$D$73),"Rev. Total. abona.",IF(D97="",IF(E97="","",E97/(0.9*1000)),IF(OR($D$65="SAN CRISTOBAL",$D$65="FLOREANA"),VLOOKUP(D97,'Estratos SCY - FLO'!$A$4:$M$108,IF($D$71="A1",2,IF($D$71="A",5,IF($D$71="B",8,11))))+E97/(0.92*1000),VLOOKUP(D97,'Estratos SCX - ISA'!$A$3:$M$107,IF($D$71="A1",2,IF($D$71="A",5,IF($D$71="B",8,11))))+E97/(0.92*1000))))),IF(OR($D$65="",$D$71=""),"",IF(OR(D97&gt;$D$72,E97&gt;$D$73),"Rev. Total. abona.",IF(D97="",IF(E97="","",E97/(0.92*1000)),IF(OR($D$65="SAN CRISTOBAL",$D$65="FLOREANA"),VLOOKUP(D97,'Estratos SCY - FLO'!$O$4:$S$108,IF($D$71="A1",2,IF($D$71="A",3,IF($D$71="B",4,5))))+E97/(0.92*1000),VLOOKUP(D97,'Estratos SCX - ISA'!$O$4:$S$108,IF($D$71="A1",2,IF($D$71="A",3,IF($D$71="B",4,5))))+E97/(0.92*1000)))))))</f>
        <v/>
      </c>
      <c r="G97" s="59" t="str">
        <f t="shared" si="10"/>
        <v/>
      </c>
      <c r="H97" s="183"/>
      <c r="I97" s="183"/>
      <c r="J97" s="59" t="str">
        <f>IF(OR(H97="",$D$10="",$N$10=""),"",IF($D$10="COBRE",VLOOKUP(CDV_PROY_BT!H97,FDV!$B$16:$E$24,IF(CDV_PROY_BT!$N$10="3F",3,4),FALSE),IF($D$10="ACS",VLOOKUP(CDV_PROY_BT!H97,FDV!$B$10:$E$15,IF(CDV_PROY_BT!$N$10="3F",3,4),FALSE),IF($D$10="5005 (PREENSAMBLADO)",VLOOKUP(CDV_PROY_BT!H97,FDV!$B$4:$E$9,IF(CDV_PROY_BT!$N$10="3F",3,4),FALSE),VLOOKUP(CDV_PROY_BT!H97,FDV!$B$25:$E$30,IF(CDV_PROY_BT!$N$10="3F",3,4),FALSE)))))</f>
        <v/>
      </c>
      <c r="K97" s="63" t="str">
        <f t="shared" si="9"/>
        <v/>
      </c>
      <c r="L97" s="62" t="str">
        <f t="shared" si="11"/>
        <v/>
      </c>
      <c r="M97" s="62" t="str">
        <f t="shared" si="12"/>
        <v/>
      </c>
      <c r="N97" s="155"/>
      <c r="U97" s="138">
        <f t="shared" si="13"/>
        <v>0</v>
      </c>
      <c r="V97" s="138">
        <f t="shared" si="14"/>
        <v>0</v>
      </c>
    </row>
    <row r="98" spans="1:22" ht="15" hidden="1">
      <c r="A98" s="167"/>
      <c r="B98" s="168"/>
      <c r="C98" s="169"/>
      <c r="D98" s="169"/>
      <c r="E98" s="170"/>
      <c r="F98" s="58" t="str">
        <f>IF($N$67="","",IF($N$67="INDUSTRIAL",IF(OR($D$65="",$D$71=""),"",IF(OR(D98&gt;$D$72,E98&gt;$D$73),"Rev. Total. abona.",IF(D98="",IF(E98="","",E98/(0.9*1000)),IF(OR($D$65="SAN CRISTOBAL",$D$65="FLOREANA"),VLOOKUP(D98,'Estratos SCY - FLO'!$A$4:$M$108,IF($D$71="A1",2,IF($D$71="A",5,IF($D$71="B",8,11))))+E98/(0.92*1000),VLOOKUP(D98,'Estratos SCX - ISA'!$A$3:$M$107,IF($D$71="A1",2,IF($D$71="A",5,IF($D$71="B",8,11))))+E98/(0.92*1000))))),IF(OR($D$65="",$D$71=""),"",IF(OR(D98&gt;$D$72,E98&gt;$D$73),"Rev. Total. abona.",IF(D98="",IF(E98="","",E98/(0.92*1000)),IF(OR($D$65="SAN CRISTOBAL",$D$65="FLOREANA"),VLOOKUP(D98,'Estratos SCY - FLO'!$O$4:$S$108,IF($D$71="A1",2,IF($D$71="A",3,IF($D$71="B",4,5))))+E98/(0.92*1000),VLOOKUP(D98,'Estratos SCX - ISA'!$O$4:$S$108,IF($D$71="A1",2,IF($D$71="A",3,IF($D$71="B",4,5))))+E98/(0.92*1000)))))))</f>
        <v/>
      </c>
      <c r="G98" s="59" t="str">
        <f t="shared" si="10"/>
        <v/>
      </c>
      <c r="H98" s="183"/>
      <c r="I98" s="183"/>
      <c r="J98" s="59" t="str">
        <f>IF(OR(H98="",$D$10="",$N$10=""),"",IF($D$10="COBRE",VLOOKUP(CDV_PROY_BT!H98,FDV!$B$16:$E$24,IF(CDV_PROY_BT!$N$10="3F",3,4),FALSE),IF($D$10="ACS",VLOOKUP(CDV_PROY_BT!H98,FDV!$B$10:$E$15,IF(CDV_PROY_BT!$N$10="3F",3,4),FALSE),IF($D$10="5005 (PREENSAMBLADO)",VLOOKUP(CDV_PROY_BT!H98,FDV!$B$4:$E$9,IF(CDV_PROY_BT!$N$10="3F",3,4),FALSE),VLOOKUP(CDV_PROY_BT!H98,FDV!$B$25:$E$30,IF(CDV_PROY_BT!$N$10="3F",3,4),FALSE)))))</f>
        <v/>
      </c>
      <c r="K98" s="63" t="str">
        <f t="shared" si="9"/>
        <v/>
      </c>
      <c r="L98" s="62" t="str">
        <f t="shared" si="11"/>
        <v/>
      </c>
      <c r="M98" s="62" t="str">
        <f t="shared" si="12"/>
        <v/>
      </c>
      <c r="N98" s="155"/>
      <c r="U98" s="138">
        <f t="shared" si="13"/>
        <v>0</v>
      </c>
      <c r="V98" s="138">
        <f t="shared" si="14"/>
        <v>0</v>
      </c>
    </row>
    <row r="99" spans="1:22" ht="15" hidden="1">
      <c r="A99" s="167"/>
      <c r="B99" s="168"/>
      <c r="C99" s="169"/>
      <c r="D99" s="169"/>
      <c r="E99" s="170"/>
      <c r="F99" s="58" t="str">
        <f>IF($N$67="","",IF($N$67="INDUSTRIAL",IF(OR($D$65="",$D$71=""),"",IF(OR(D99&gt;$D$72,E99&gt;$D$73),"Rev. Total. abona.",IF(D99="",IF(E99="","",E99/(0.9*1000)),IF(OR($D$65="SAN CRISTOBAL",$D$65="FLOREANA"),VLOOKUP(D99,'Estratos SCY - FLO'!$A$4:$M$108,IF($D$71="A1",2,IF($D$71="A",5,IF($D$71="B",8,11))))+E99/(0.92*1000),VLOOKUP(D99,'Estratos SCX - ISA'!$A$3:$M$107,IF($D$71="A1",2,IF($D$71="A",5,IF($D$71="B",8,11))))+E99/(0.92*1000))))),IF(OR($D$65="",$D$71=""),"",IF(OR(D99&gt;$D$72,E99&gt;$D$73),"Rev. Total. abona.",IF(D99="",IF(E99="","",E99/(0.92*1000)),IF(OR($D$65="SAN CRISTOBAL",$D$65="FLOREANA"),VLOOKUP(D99,'Estratos SCY - FLO'!$O$4:$S$108,IF($D$71="A1",2,IF($D$71="A",3,IF($D$71="B",4,5))))+E99/(0.92*1000),VLOOKUP(D99,'Estratos SCX - ISA'!$O$4:$S$108,IF($D$71="A1",2,IF($D$71="A",3,IF($D$71="B",4,5))))+E99/(0.92*1000)))))))</f>
        <v/>
      </c>
      <c r="G99" s="59" t="str">
        <f t="shared" si="10"/>
        <v/>
      </c>
      <c r="H99" s="183"/>
      <c r="I99" s="183"/>
      <c r="J99" s="59" t="str">
        <f>IF(OR(H99="",$D$10="",$N$10=""),"",IF($D$10="COBRE",VLOOKUP(CDV_PROY_BT!H99,FDV!$B$16:$E$24,IF(CDV_PROY_BT!$N$10="3F",3,4),FALSE),IF($D$10="ACS",VLOOKUP(CDV_PROY_BT!H99,FDV!$B$10:$E$15,IF(CDV_PROY_BT!$N$10="3F",3,4),FALSE),IF($D$10="5005 (PREENSAMBLADO)",VLOOKUP(CDV_PROY_BT!H99,FDV!$B$4:$E$9,IF(CDV_PROY_BT!$N$10="3F",3,4),FALSE),VLOOKUP(CDV_PROY_BT!H99,FDV!$B$25:$E$30,IF(CDV_PROY_BT!$N$10="3F",3,4),FALSE)))))</f>
        <v/>
      </c>
      <c r="K99" s="63" t="str">
        <f t="shared" si="9"/>
        <v/>
      </c>
      <c r="L99" s="62" t="str">
        <f t="shared" si="11"/>
        <v/>
      </c>
      <c r="M99" s="62" t="str">
        <f t="shared" si="12"/>
        <v/>
      </c>
      <c r="N99" s="155"/>
      <c r="U99" s="138">
        <f t="shared" si="13"/>
        <v>0</v>
      </c>
      <c r="V99" s="138">
        <f t="shared" si="14"/>
        <v>0</v>
      </c>
    </row>
    <row r="100" spans="1:22" ht="15" hidden="1">
      <c r="A100" s="167"/>
      <c r="B100" s="168"/>
      <c r="C100" s="169"/>
      <c r="D100" s="169"/>
      <c r="E100" s="170"/>
      <c r="F100" s="58" t="str">
        <f>IF($N$67="","",IF($N$67="INDUSTRIAL",IF(OR($D$65="",$D$71=""),"",IF(OR(D100&gt;$D$72,E100&gt;$D$73),"Rev. Total. abona.",IF(D100="",IF(E100="","",E100/(0.9*1000)),IF(OR($D$65="SAN CRISTOBAL",$D$65="FLOREANA"),VLOOKUP(D100,'Estratos SCY - FLO'!$A$4:$M$108,IF($D$71="A1",2,IF($D$71="A",5,IF($D$71="B",8,11))))+E100/(0.92*1000),VLOOKUP(D100,'Estratos SCX - ISA'!$A$3:$M$107,IF($D$71="A1",2,IF($D$71="A",5,IF($D$71="B",8,11))))+E100/(0.92*1000))))),IF(OR($D$65="",$D$71=""),"",IF(OR(D100&gt;$D$72,E100&gt;$D$73),"Rev. Total. abona.",IF(D100="",IF(E100="","",E100/(0.92*1000)),IF(OR($D$65="SAN CRISTOBAL",$D$65="FLOREANA"),VLOOKUP(D100,'Estratos SCY - FLO'!$O$4:$S$108,IF($D$71="A1",2,IF($D$71="A",3,IF($D$71="B",4,5))))+E100/(0.92*1000),VLOOKUP(D100,'Estratos SCX - ISA'!$O$4:$S$108,IF($D$71="A1",2,IF($D$71="A",3,IF($D$71="B",4,5))))+E100/(0.92*1000)))))))</f>
        <v/>
      </c>
      <c r="G100" s="59" t="str">
        <f t="shared" si="10"/>
        <v/>
      </c>
      <c r="H100" s="183"/>
      <c r="I100" s="183"/>
      <c r="J100" s="59" t="str">
        <f>IF(OR(H100="",$D$10="",$N$10=""),"",IF($D$10="COBRE",VLOOKUP(CDV_PROY_BT!H100,FDV!$B$16:$E$24,IF(CDV_PROY_BT!$N$10="3F",3,4),FALSE),IF($D$10="ACS",VLOOKUP(CDV_PROY_BT!H100,FDV!$B$10:$E$15,IF(CDV_PROY_BT!$N$10="3F",3,4),FALSE),IF($D$10="5005 (PREENSAMBLADO)",VLOOKUP(CDV_PROY_BT!H100,FDV!$B$4:$E$9,IF(CDV_PROY_BT!$N$10="3F",3,4),FALSE),VLOOKUP(CDV_PROY_BT!H100,FDV!$B$25:$E$30,IF(CDV_PROY_BT!$N$10="3F",3,4),FALSE)))))</f>
        <v/>
      </c>
      <c r="K100" s="63" t="str">
        <f t="shared" si="9"/>
        <v/>
      </c>
      <c r="L100" s="62" t="str">
        <f t="shared" si="11"/>
        <v/>
      </c>
      <c r="M100" s="62" t="str">
        <f t="shared" si="12"/>
        <v/>
      </c>
      <c r="N100" s="155"/>
      <c r="U100" s="138">
        <f t="shared" si="13"/>
        <v>0</v>
      </c>
      <c r="V100" s="138">
        <f t="shared" si="14"/>
        <v>0</v>
      </c>
    </row>
    <row r="101" spans="1:22" ht="15" hidden="1">
      <c r="A101" s="167"/>
      <c r="B101" s="168"/>
      <c r="C101" s="169"/>
      <c r="D101" s="169"/>
      <c r="E101" s="170"/>
      <c r="F101" s="58" t="str">
        <f>IF($N$67="","",IF($N$67="INDUSTRIAL",IF(OR($D$65="",$D$71=""),"",IF(OR(D101&gt;$D$72,E101&gt;$D$73),"Rev. Total. abona.",IF(D101="",IF(E101="","",E101/(0.9*1000)),IF(OR($D$65="SAN CRISTOBAL",$D$65="FLOREANA"),VLOOKUP(D101,'Estratos SCY - FLO'!$A$4:$M$108,IF($D$71="A1",2,IF($D$71="A",5,IF($D$71="B",8,11))))+E101/(0.92*1000),VLOOKUP(D101,'Estratos SCX - ISA'!$A$3:$M$107,IF($D$71="A1",2,IF($D$71="A",5,IF($D$71="B",8,11))))+E101/(0.92*1000))))),IF(OR($D$65="",$D$71=""),"",IF(OR(D101&gt;$D$72,E101&gt;$D$73),"Rev. Total. abona.",IF(D101="",IF(E101="","",E101/(0.92*1000)),IF(OR($D$65="SAN CRISTOBAL",$D$65="FLOREANA"),VLOOKUP(D101,'Estratos SCY - FLO'!$O$4:$S$108,IF($D$71="A1",2,IF($D$71="A",3,IF($D$71="B",4,5))))+E101/(0.92*1000),VLOOKUP(D101,'Estratos SCX - ISA'!$O$4:$S$108,IF($D$71="A1",2,IF($D$71="A",3,IF($D$71="B",4,5))))+E101/(0.92*1000)))))))</f>
        <v/>
      </c>
      <c r="G101" s="59" t="str">
        <f t="shared" si="10"/>
        <v/>
      </c>
      <c r="H101" s="183"/>
      <c r="I101" s="183"/>
      <c r="J101" s="59" t="str">
        <f>IF(OR(H101="",$D$10="",$N$10=""),"",IF($D$10="COBRE",VLOOKUP(CDV_PROY_BT!H101,FDV!$B$16:$E$24,IF(CDV_PROY_BT!$N$10="3F",3,4),FALSE),IF($D$10="ACS",VLOOKUP(CDV_PROY_BT!H101,FDV!$B$10:$E$15,IF(CDV_PROY_BT!$N$10="3F",3,4),FALSE),IF($D$10="5005 (PREENSAMBLADO)",VLOOKUP(CDV_PROY_BT!H101,FDV!$B$4:$E$9,IF(CDV_PROY_BT!$N$10="3F",3,4),FALSE),VLOOKUP(CDV_PROY_BT!H101,FDV!$B$25:$E$30,IF(CDV_PROY_BT!$N$10="3F",3,4),FALSE)))))</f>
        <v/>
      </c>
      <c r="K101" s="63" t="str">
        <f t="shared" si="9"/>
        <v/>
      </c>
      <c r="L101" s="62" t="str">
        <f t="shared" si="11"/>
        <v/>
      </c>
      <c r="M101" s="62" t="str">
        <f t="shared" si="12"/>
        <v/>
      </c>
      <c r="N101" s="155"/>
      <c r="U101" s="138">
        <f t="shared" si="13"/>
        <v>0</v>
      </c>
      <c r="V101" s="138">
        <f t="shared" si="14"/>
        <v>0</v>
      </c>
    </row>
    <row r="102" spans="1:22" ht="15" hidden="1">
      <c r="A102" s="167"/>
      <c r="B102" s="168"/>
      <c r="C102" s="169"/>
      <c r="D102" s="169"/>
      <c r="E102" s="170"/>
      <c r="F102" s="58" t="str">
        <f>IF($N$67="","",IF($N$67="INDUSTRIAL",IF(OR($D$65="",$D$71=""),"",IF(OR(D102&gt;$D$72,E102&gt;$D$73),"Rev. Total. abona.",IF(D102="",IF(E102="","",E102/(0.9*1000)),IF(OR($D$65="SAN CRISTOBAL",$D$65="FLOREANA"),VLOOKUP(D102,'Estratos SCY - FLO'!$A$4:$M$108,IF($D$71="A1",2,IF($D$71="A",5,IF($D$71="B",8,11))))+E102/(0.92*1000),VLOOKUP(D102,'Estratos SCX - ISA'!$A$3:$M$107,IF($D$71="A1",2,IF($D$71="A",5,IF($D$71="B",8,11))))+E102/(0.92*1000))))),IF(OR($D$65="",$D$71=""),"",IF(OR(D102&gt;$D$72,E102&gt;$D$73),"Rev. Total. abona.",IF(D102="",IF(E102="","",E102/(0.92*1000)),IF(OR($D$65="SAN CRISTOBAL",$D$65="FLOREANA"),VLOOKUP(D102,'Estratos SCY - FLO'!$O$4:$S$108,IF($D$71="A1",2,IF($D$71="A",3,IF($D$71="B",4,5))))+E102/(0.92*1000),VLOOKUP(D102,'Estratos SCX - ISA'!$O$4:$S$108,IF($D$71="A1",2,IF($D$71="A",3,IF($D$71="B",4,5))))+E102/(0.92*1000)))))))</f>
        <v/>
      </c>
      <c r="G102" s="59" t="str">
        <f t="shared" si="10"/>
        <v/>
      </c>
      <c r="H102" s="183"/>
      <c r="I102" s="183"/>
      <c r="J102" s="59" t="str">
        <f>IF(OR(H102="",$D$10="",$N$10=""),"",IF($D$10="COBRE",VLOOKUP(CDV_PROY_BT!H102,FDV!$B$16:$E$24,IF(CDV_PROY_BT!$N$10="3F",3,4),FALSE),IF($D$10="ACS",VLOOKUP(CDV_PROY_BT!H102,FDV!$B$10:$E$15,IF(CDV_PROY_BT!$N$10="3F",3,4),FALSE),IF($D$10="5005 (PREENSAMBLADO)",VLOOKUP(CDV_PROY_BT!H102,FDV!$B$4:$E$9,IF(CDV_PROY_BT!$N$10="3F",3,4),FALSE),VLOOKUP(CDV_PROY_BT!H102,FDV!$B$25:$E$30,IF(CDV_PROY_BT!$N$10="3F",3,4),FALSE)))))</f>
        <v/>
      </c>
      <c r="K102" s="63" t="str">
        <f t="shared" si="9"/>
        <v/>
      </c>
      <c r="L102" s="62" t="str">
        <f t="shared" si="11"/>
        <v/>
      </c>
      <c r="M102" s="62" t="str">
        <f t="shared" si="12"/>
        <v/>
      </c>
      <c r="N102" s="155"/>
      <c r="U102" s="138">
        <f t="shared" si="13"/>
        <v>0</v>
      </c>
      <c r="V102" s="138">
        <f t="shared" si="14"/>
        <v>0</v>
      </c>
    </row>
    <row r="103" spans="1:22" ht="15" hidden="1">
      <c r="A103" s="167"/>
      <c r="B103" s="168"/>
      <c r="C103" s="169"/>
      <c r="D103" s="169"/>
      <c r="E103" s="170"/>
      <c r="F103" s="58" t="str">
        <f>IF($N$67="","",IF($N$67="INDUSTRIAL",IF(OR($D$65="",$D$71=""),"",IF(OR(D103&gt;$D$72,E103&gt;$D$73),"Rev. Total. abona.",IF(D103="",IF(E103="","",E103/(0.9*1000)),IF(OR($D$65="SAN CRISTOBAL",$D$65="FLOREANA"),VLOOKUP(D103,'Estratos SCY - FLO'!$A$4:$M$108,IF($D$71="A1",2,IF($D$71="A",5,IF($D$71="B",8,11))))+E103/(0.92*1000),VLOOKUP(D103,'Estratos SCX - ISA'!$A$3:$M$107,IF($D$71="A1",2,IF($D$71="A",5,IF($D$71="B",8,11))))+E103/(0.92*1000))))),IF(OR($D$65="",$D$71=""),"",IF(OR(D103&gt;$D$72,E103&gt;$D$73),"Rev. Total. abona.",IF(D103="",IF(E103="","",E103/(0.92*1000)),IF(OR($D$65="SAN CRISTOBAL",$D$65="FLOREANA"),VLOOKUP(D103,'Estratos SCY - FLO'!$O$4:$S$108,IF($D$71="A1",2,IF($D$71="A",3,IF($D$71="B",4,5))))+E103/(0.92*1000),VLOOKUP(D103,'Estratos SCX - ISA'!$O$4:$S$108,IF($D$71="A1",2,IF($D$71="A",3,IF($D$71="B",4,5))))+E103/(0.92*1000)))))))</f>
        <v/>
      </c>
      <c r="G103" s="59" t="str">
        <f t="shared" si="10"/>
        <v/>
      </c>
      <c r="H103" s="183"/>
      <c r="I103" s="183"/>
      <c r="J103" s="59" t="str">
        <f>IF(OR(H103="",$D$10="",$N$10=""),"",IF($D$10="COBRE",VLOOKUP(CDV_PROY_BT!H103,FDV!$B$16:$E$24,IF(CDV_PROY_BT!$N$10="3F",3,4),FALSE),IF($D$10="ACS",VLOOKUP(CDV_PROY_BT!H103,FDV!$B$10:$E$15,IF(CDV_PROY_BT!$N$10="3F",3,4),FALSE),IF($D$10="5005 (PREENSAMBLADO)",VLOOKUP(CDV_PROY_BT!H103,FDV!$B$4:$E$9,IF(CDV_PROY_BT!$N$10="3F",3,4),FALSE),VLOOKUP(CDV_PROY_BT!H103,FDV!$B$25:$E$30,IF(CDV_PROY_BT!$N$10="3F",3,4),FALSE)))))</f>
        <v/>
      </c>
      <c r="K103" s="63" t="str">
        <f t="shared" si="9"/>
        <v/>
      </c>
      <c r="L103" s="62" t="str">
        <f t="shared" si="11"/>
        <v/>
      </c>
      <c r="M103" s="62" t="str">
        <f t="shared" si="12"/>
        <v/>
      </c>
      <c r="N103" s="155"/>
      <c r="U103" s="138">
        <f t="shared" si="13"/>
        <v>0</v>
      </c>
      <c r="V103" s="138">
        <f t="shared" si="14"/>
        <v>0</v>
      </c>
    </row>
    <row r="104" spans="1:22" ht="15" hidden="1">
      <c r="A104" s="167"/>
      <c r="B104" s="168"/>
      <c r="C104" s="169"/>
      <c r="D104" s="169"/>
      <c r="E104" s="170"/>
      <c r="F104" s="58" t="str">
        <f>IF($N$67="","",IF($N$67="INDUSTRIAL",IF(OR($D$65="",$D$71=""),"",IF(OR(D104&gt;$D$72,E104&gt;$D$73),"Rev. Total. abona.",IF(D104="",IF(E104="","",E104/(0.9*1000)),IF(OR($D$65="SAN CRISTOBAL",$D$65="FLOREANA"),VLOOKUP(D104,'Estratos SCY - FLO'!$A$4:$M$108,IF($D$71="A1",2,IF($D$71="A",5,IF($D$71="B",8,11))))+E104/(0.92*1000),VLOOKUP(D104,'Estratos SCX - ISA'!$A$3:$M$107,IF($D$71="A1",2,IF($D$71="A",5,IF($D$71="B",8,11))))+E104/(0.92*1000))))),IF(OR($D$65="",$D$71=""),"",IF(OR(D104&gt;$D$72,E104&gt;$D$73),"Rev. Total. abona.",IF(D104="",IF(E104="","",E104/(0.92*1000)),IF(OR($D$65="SAN CRISTOBAL",$D$65="FLOREANA"),VLOOKUP(D104,'Estratos SCY - FLO'!$O$4:$S$108,IF($D$71="A1",2,IF($D$71="A",3,IF($D$71="B",4,5))))+E104/(0.92*1000),VLOOKUP(D104,'Estratos SCX - ISA'!$O$4:$S$108,IF($D$71="A1",2,IF($D$71="A",3,IF($D$71="B",4,5))))+E104/(0.92*1000)))))))</f>
        <v/>
      </c>
      <c r="G104" s="59" t="str">
        <f t="shared" si="10"/>
        <v/>
      </c>
      <c r="H104" s="183"/>
      <c r="I104" s="183"/>
      <c r="J104" s="59" t="str">
        <f>IF(OR(H104="",$D$10="",$N$10=""),"",IF($D$10="COBRE",VLOOKUP(CDV_PROY_BT!H104,FDV!$B$16:$E$24,IF(CDV_PROY_BT!$N$10="3F",3,4),FALSE),IF($D$10="ACS",VLOOKUP(CDV_PROY_BT!H104,FDV!$B$10:$E$15,IF(CDV_PROY_BT!$N$10="3F",3,4),FALSE),IF($D$10="5005 (PREENSAMBLADO)",VLOOKUP(CDV_PROY_BT!H104,FDV!$B$4:$E$9,IF(CDV_PROY_BT!$N$10="3F",3,4),FALSE),VLOOKUP(CDV_PROY_BT!H104,FDV!$B$25:$E$30,IF(CDV_PROY_BT!$N$10="3F",3,4),FALSE)))))</f>
        <v/>
      </c>
      <c r="K104" s="63" t="str">
        <f t="shared" si="9"/>
        <v/>
      </c>
      <c r="L104" s="62" t="str">
        <f t="shared" si="11"/>
        <v/>
      </c>
      <c r="M104" s="62" t="str">
        <f t="shared" si="12"/>
        <v/>
      </c>
      <c r="N104" s="155"/>
      <c r="U104" s="138">
        <f t="shared" si="13"/>
        <v>0</v>
      </c>
      <c r="V104" s="138">
        <f t="shared" si="14"/>
        <v>0</v>
      </c>
    </row>
    <row r="105" spans="1:22" ht="15" hidden="1">
      <c r="A105" s="167"/>
      <c r="B105" s="168"/>
      <c r="C105" s="169"/>
      <c r="D105" s="169"/>
      <c r="E105" s="170"/>
      <c r="F105" s="58" t="str">
        <f>IF($N$67="","",IF($N$67="INDUSTRIAL",IF(OR($D$65="",$D$71=""),"",IF(OR(D105&gt;$D$72,E105&gt;$D$73),"Rev. Total. abona.",IF(D105="",IF(E105="","",E105/(0.9*1000)),IF(OR($D$65="SAN CRISTOBAL",$D$65="FLOREANA"),VLOOKUP(D105,'Estratos SCY - FLO'!$A$4:$M$108,IF($D$71="A1",2,IF($D$71="A",5,IF($D$71="B",8,11))))+E105/(0.92*1000),VLOOKUP(D105,'Estratos SCX - ISA'!$A$3:$M$107,IF($D$71="A1",2,IF($D$71="A",5,IF($D$71="B",8,11))))+E105/(0.92*1000))))),IF(OR($D$65="",$D$71=""),"",IF(OR(D105&gt;$D$72,E105&gt;$D$73),"Rev. Total. abona.",IF(D105="",IF(E105="","",E105/(0.92*1000)),IF(OR($D$65="SAN CRISTOBAL",$D$65="FLOREANA"),VLOOKUP(D105,'Estratos SCY - FLO'!$O$4:$S$108,IF($D$71="A1",2,IF($D$71="A",3,IF($D$71="B",4,5))))+E105/(0.92*1000),VLOOKUP(D105,'Estratos SCX - ISA'!$O$4:$S$108,IF($D$71="A1",2,IF($D$71="A",3,IF($D$71="B",4,5))))+E105/(0.92*1000)))))))</f>
        <v/>
      </c>
      <c r="G105" s="59" t="str">
        <f t="shared" si="10"/>
        <v/>
      </c>
      <c r="H105" s="183"/>
      <c r="I105" s="183"/>
      <c r="J105" s="59" t="str">
        <f>IF(OR(H105="",$D$10="",$N$10=""),"",IF($D$10="COBRE",VLOOKUP(CDV_PROY_BT!H105,FDV!$B$16:$E$24,IF(CDV_PROY_BT!$N$10="3F",3,4),FALSE),IF($D$10="ACS",VLOOKUP(CDV_PROY_BT!H105,FDV!$B$10:$E$15,IF(CDV_PROY_BT!$N$10="3F",3,4),FALSE),IF($D$10="5005 (PREENSAMBLADO)",VLOOKUP(CDV_PROY_BT!H105,FDV!$B$4:$E$9,IF(CDV_PROY_BT!$N$10="3F",3,4),FALSE),VLOOKUP(CDV_PROY_BT!H105,FDV!$B$25:$E$30,IF(CDV_PROY_BT!$N$10="3F",3,4),FALSE)))))</f>
        <v/>
      </c>
      <c r="K105" s="63" t="str">
        <f t="shared" si="9"/>
        <v/>
      </c>
      <c r="L105" s="62" t="str">
        <f t="shared" si="11"/>
        <v/>
      </c>
      <c r="M105" s="62" t="str">
        <f t="shared" si="12"/>
        <v/>
      </c>
      <c r="N105" s="155"/>
      <c r="U105" s="138">
        <f t="shared" si="13"/>
        <v>0</v>
      </c>
      <c r="V105" s="138">
        <f t="shared" si="14"/>
        <v>0</v>
      </c>
    </row>
    <row r="106" spans="1:22" ht="15" hidden="1">
      <c r="A106" s="167"/>
      <c r="B106" s="168"/>
      <c r="C106" s="169"/>
      <c r="D106" s="169"/>
      <c r="E106" s="170"/>
      <c r="F106" s="58" t="str">
        <f>IF($N$67="","",IF($N$67="INDUSTRIAL",IF(OR($D$65="",$D$71=""),"",IF(OR(D106&gt;$D$72,E106&gt;$D$73),"Rev. Total. abona.",IF(D106="",IF(E106="","",E106/(0.9*1000)),IF(OR($D$65="SAN CRISTOBAL",$D$65="FLOREANA"),VLOOKUP(D106,'Estratos SCY - FLO'!$A$4:$M$108,IF($D$71="A1",2,IF($D$71="A",5,IF($D$71="B",8,11))))+E106/(0.92*1000),VLOOKUP(D106,'Estratos SCX - ISA'!$A$3:$M$107,IF($D$71="A1",2,IF($D$71="A",5,IF($D$71="B",8,11))))+E106/(0.92*1000))))),IF(OR($D$65="",$D$71=""),"",IF(OR(D106&gt;$D$72,E106&gt;$D$73),"Rev. Total. abona.",IF(D106="",IF(E106="","",E106/(0.92*1000)),IF(OR($D$65="SAN CRISTOBAL",$D$65="FLOREANA"),VLOOKUP(D106,'Estratos SCY - FLO'!$O$4:$S$108,IF($D$71="A1",2,IF($D$71="A",3,IF($D$71="B",4,5))))+E106/(0.92*1000),VLOOKUP(D106,'Estratos SCX - ISA'!$O$4:$S$108,IF($D$71="A1",2,IF($D$71="A",3,IF($D$71="B",4,5))))+E106/(0.92*1000)))))))</f>
        <v/>
      </c>
      <c r="G106" s="59" t="str">
        <f t="shared" si="10"/>
        <v/>
      </c>
      <c r="H106" s="183"/>
      <c r="I106" s="183"/>
      <c r="J106" s="59" t="str">
        <f>IF(OR(H106="",$D$10="",$N$10=""),"",IF($D$10="COBRE",VLOOKUP(CDV_PROY_BT!H106,FDV!$B$16:$E$24,IF(CDV_PROY_BT!$N$10="3F",3,4),FALSE),IF($D$10="ACS",VLOOKUP(CDV_PROY_BT!H106,FDV!$B$10:$E$15,IF(CDV_PROY_BT!$N$10="3F",3,4),FALSE),IF($D$10="5005 (PREENSAMBLADO)",VLOOKUP(CDV_PROY_BT!H106,FDV!$B$4:$E$9,IF(CDV_PROY_BT!$N$10="3F",3,4),FALSE),VLOOKUP(CDV_PROY_BT!H106,FDV!$B$25:$E$30,IF(CDV_PROY_BT!$N$10="3F",3,4),FALSE)))))</f>
        <v/>
      </c>
      <c r="K106" s="63" t="str">
        <f t="shared" si="9"/>
        <v/>
      </c>
      <c r="L106" s="62" t="str">
        <f t="shared" si="11"/>
        <v/>
      </c>
      <c r="M106" s="62" t="str">
        <f t="shared" si="12"/>
        <v/>
      </c>
      <c r="N106" s="155"/>
      <c r="U106" s="138">
        <f t="shared" si="13"/>
        <v>0</v>
      </c>
      <c r="V106" s="138">
        <f t="shared" si="14"/>
        <v>0</v>
      </c>
    </row>
    <row r="107" spans="1:22" ht="15" hidden="1">
      <c r="A107" s="167"/>
      <c r="B107" s="168"/>
      <c r="C107" s="169"/>
      <c r="D107" s="169"/>
      <c r="E107" s="170"/>
      <c r="F107" s="58" t="str">
        <f>IF($N$67="","",IF($N$67="INDUSTRIAL",IF(OR($D$65="",$D$71=""),"",IF(OR(D107&gt;$D$72,E107&gt;$D$73),"Rev. Total. abona.",IF(D107="",IF(E107="","",E107/(0.9*1000)),IF(OR($D$65="SAN CRISTOBAL",$D$65="FLOREANA"),VLOOKUP(D107,'Estratos SCY - FLO'!$A$4:$M$108,IF($D$71="A1",2,IF($D$71="A",5,IF($D$71="B",8,11))))+E107/(0.92*1000),VLOOKUP(D107,'Estratos SCX - ISA'!$A$3:$M$107,IF($D$71="A1",2,IF($D$71="A",5,IF($D$71="B",8,11))))+E107/(0.92*1000))))),IF(OR($D$65="",$D$71=""),"",IF(OR(D107&gt;$D$72,E107&gt;$D$73),"Rev. Total. abona.",IF(D107="",IF(E107="","",E107/(0.92*1000)),IF(OR($D$65="SAN CRISTOBAL",$D$65="FLOREANA"),VLOOKUP(D107,'Estratos SCY - FLO'!$O$4:$S$108,IF($D$71="A1",2,IF($D$71="A",3,IF($D$71="B",4,5))))+E107/(0.92*1000),VLOOKUP(D107,'Estratos SCX - ISA'!$O$4:$S$108,IF($D$71="A1",2,IF($D$71="A",3,IF($D$71="B",4,5))))+E107/(0.92*1000)))))))</f>
        <v/>
      </c>
      <c r="G107" s="59" t="str">
        <f t="shared" si="10"/>
        <v/>
      </c>
      <c r="H107" s="183"/>
      <c r="I107" s="183"/>
      <c r="J107" s="59" t="str">
        <f>IF(OR(H107="",$D$10="",$N$10=""),"",IF($D$10="COBRE",VLOOKUP(CDV_PROY_BT!H107,FDV!$B$16:$E$24,IF(CDV_PROY_BT!$N$10="3F",3,4),FALSE),IF($D$10="ACS",VLOOKUP(CDV_PROY_BT!H107,FDV!$B$10:$E$15,IF(CDV_PROY_BT!$N$10="3F",3,4),FALSE),IF($D$10="5005 (PREENSAMBLADO)",VLOOKUP(CDV_PROY_BT!H107,FDV!$B$4:$E$9,IF(CDV_PROY_BT!$N$10="3F",3,4),FALSE),VLOOKUP(CDV_PROY_BT!H107,FDV!$B$25:$E$30,IF(CDV_PROY_BT!$N$10="3F",3,4),FALSE)))))</f>
        <v/>
      </c>
      <c r="K107" s="63" t="str">
        <f t="shared" si="9"/>
        <v/>
      </c>
      <c r="L107" s="62" t="str">
        <f t="shared" si="11"/>
        <v/>
      </c>
      <c r="M107" s="62" t="str">
        <f t="shared" si="12"/>
        <v/>
      </c>
      <c r="N107" s="156"/>
      <c r="U107" s="138">
        <f t="shared" si="13"/>
        <v>0</v>
      </c>
      <c r="V107" s="138">
        <f t="shared" si="14"/>
        <v>0</v>
      </c>
    </row>
    <row r="108" spans="1:22" ht="15.75" hidden="1" thickBot="1">
      <c r="A108" s="178"/>
      <c r="B108" s="179"/>
      <c r="C108" s="180"/>
      <c r="D108" s="180"/>
      <c r="E108" s="181"/>
      <c r="F108" s="68" t="str">
        <f>IF($N$67="","",IF($N$67="INDUSTRIAL",IF(OR($D$65="",$D$71=""),"",IF(OR(D108&gt;$D$72,E108&gt;$D$73),"Rev. Total. abona.",IF(D108="",IF(E108="","",E108/(0.9*1000)),IF(OR($D$65="SAN CRISTOBAL",$D$65="FLOREANA"),VLOOKUP(D108,'Estratos SCY - FLO'!$A$4:$M$108,IF($D$71="A1",2,IF($D$71="A",5,IF($D$71="B",8,11))))+E108/(0.92*1000),VLOOKUP(D108,'Estratos SCX - ISA'!$A$3:$M$107,IF($D$71="A1",2,IF($D$71="A",5,IF($D$71="B",8,11))))+E108/(0.92*1000))))),IF(OR($D$65="",$D$71=""),"",IF(OR(D108&gt;$D$72,E108&gt;$D$73),"Rev. Total. abona.",IF(D108="",IF(E108="","",E108/(0.92*1000)),IF(OR($D$65="SAN CRISTOBAL",$D$65="FLOREANA"),VLOOKUP(D108,'Estratos SCY - FLO'!$O$4:$S$108,IF($D$71="A1",2,IF($D$71="A",3,IF($D$71="B",4,5))))+E108/(0.92*1000),VLOOKUP(D108,'Estratos SCX - ISA'!$O$4:$S$108,IF($D$71="A1",2,IF($D$71="A",3,IF($D$71="B",4,5))))+E108/(0.92*1000)))))))</f>
        <v/>
      </c>
      <c r="G108" s="69" t="str">
        <f t="shared" si="10"/>
        <v/>
      </c>
      <c r="H108" s="184"/>
      <c r="I108" s="184"/>
      <c r="J108" s="69" t="str">
        <f>IF(OR(H108="",$D$10="",$N$10=""),"",IF($D$10="COBRE",VLOOKUP(CDV_PROY_BT!H108,FDV!$B$16:$E$24,IF(CDV_PROY_BT!$N$10="3F",3,4),FALSE),IF($D$10="ACS",VLOOKUP(CDV_PROY_BT!H108,FDV!$B$10:$E$15,IF(CDV_PROY_BT!$N$10="3F",3,4),FALSE),IF($D$10="5005 (PREENSAMBLADO)",VLOOKUP(CDV_PROY_BT!H108,FDV!$B$4:$E$9,IF(CDV_PROY_BT!$N$10="3F",3,4),FALSE),VLOOKUP(CDV_PROY_BT!H108,FDV!$B$25:$E$30,IF(CDV_PROY_BT!$N$10="3F",3,4),FALSE)))))</f>
        <v/>
      </c>
      <c r="K108" s="65" t="str">
        <f t="shared" si="9"/>
        <v/>
      </c>
      <c r="L108" s="64" t="str">
        <f t="shared" si="11"/>
        <v/>
      </c>
      <c r="M108" s="64" t="str">
        <f t="shared" si="12"/>
        <v/>
      </c>
      <c r="N108" s="157"/>
      <c r="U108" s="138">
        <f t="shared" si="13"/>
        <v>0</v>
      </c>
      <c r="V108" s="138">
        <f t="shared" si="14"/>
        <v>0</v>
      </c>
    </row>
    <row r="109" spans="1:22" ht="15.75" hidden="1" thickBot="1">
      <c r="A109" s="143"/>
      <c r="B109" s="67" t="str">
        <f>IF(N78="","",N78)</f>
        <v>P11</v>
      </c>
      <c r="C109" s="144"/>
      <c r="D109" s="144"/>
      <c r="E109" s="145"/>
      <c r="F109" s="68"/>
      <c r="G109" s="69" t="str">
        <f t="shared" si="10"/>
        <v/>
      </c>
      <c r="H109" s="146" t="e">
        <f>IF(B109="","",IF(B109-A109=1,H108,""))</f>
        <v>#VALUE!</v>
      </c>
      <c r="I109" s="146"/>
      <c r="J109" s="70" t="e">
        <f>IF(OR(H109="",$D$10="",$N$10=""),"",IF($D$10="COBRE",VLOOKUP(CDV_PROY_BT!H109,FDV!$B$16:$E$24,IF(CDV_PROY_BT!$N$10="3F",3,4),FALSE),IF($D$10="ACS",VLOOKUP(CDV_PROY_BT!H109,FDV!$B$10:$E$15,IF(CDV_PROY_BT!$N$10="3F",3,4),FALSE),IF($D$10="5005 (PREENSAMBLADO)",VLOOKUP(CDV_PROY_BT!H109,FDV!$B$4:$E$9,IF(CDV_PROY_BT!$N$10="3F",3,4),FALSE),VLOOKUP(CDV_PROY_BT!H109,FDV!$B$25:$E$30,IF(CDV_PROY_BT!$N$10="3F",3,4),FALSE)))))</f>
        <v>#VALUE!</v>
      </c>
      <c r="K109" s="71" t="str">
        <f t="shared" si="9"/>
        <v/>
      </c>
      <c r="L109" s="68" t="str">
        <f aca="true" t="shared" si="15" ref="L109">IF(C109="","",ROUND(K109/J109,2))</f>
        <v/>
      </c>
      <c r="M109" s="72">
        <v>0</v>
      </c>
      <c r="N109" s="66"/>
      <c r="U109" s="138">
        <f aca="true" t="shared" si="16" ref="U109:U110">+IF(D109&gt;0,C109,0)</f>
        <v>0</v>
      </c>
      <c r="V109" s="138">
        <f aca="true" t="shared" si="17" ref="V109:V110">IF(C109="",0,C109*G109)</f>
        <v>0</v>
      </c>
    </row>
    <row r="110" spans="1:22" ht="15.75" hidden="1" thickBot="1">
      <c r="A110" s="73" t="s">
        <v>113</v>
      </c>
      <c r="B110" s="74"/>
      <c r="C110" s="75"/>
      <c r="D110" s="75"/>
      <c r="E110" s="76"/>
      <c r="F110" s="77"/>
      <c r="G110" s="78"/>
      <c r="H110" s="79"/>
      <c r="I110" s="79"/>
      <c r="J110" s="78"/>
      <c r="K110" s="121"/>
      <c r="L110" s="121"/>
      <c r="M110" s="128"/>
      <c r="N110" s="240"/>
      <c r="U110" s="138">
        <f t="shared" si="16"/>
        <v>0</v>
      </c>
      <c r="V110" s="138">
        <f t="shared" si="17"/>
        <v>0</v>
      </c>
    </row>
    <row r="111" spans="1:14" ht="15.75" hidden="1" thickBot="1">
      <c r="A111" s="93" t="s">
        <v>96</v>
      </c>
      <c r="B111" s="94">
        <f>+ROUND(SUMIF(H82:H108,"4/0",V82:V110)*1.015,0)</f>
        <v>0</v>
      </c>
      <c r="C111" s="93" t="s">
        <v>97</v>
      </c>
      <c r="D111" s="94">
        <f>ROUND((SUMIF(H82:H108,"3/0",V82:V110))*1.015,0)</f>
        <v>0</v>
      </c>
      <c r="E111" s="82" t="s">
        <v>95</v>
      </c>
      <c r="F111" s="81">
        <f>ROUND((SUMIF(H82:H108,"2/0",V82:V110))*1.015,0)</f>
        <v>0</v>
      </c>
      <c r="G111" s="80" t="s">
        <v>57</v>
      </c>
      <c r="H111" s="81">
        <f>ROUND((SUMIF(H82:H108,"1/0",V82:V110))*1.015,0)</f>
        <v>204</v>
      </c>
      <c r="I111" s="93" t="s">
        <v>58</v>
      </c>
      <c r="J111" s="94">
        <f>ROUND((SUMIF(H82:H108,"2",V82:V110))*1.015,0)</f>
        <v>0</v>
      </c>
      <c r="K111" s="147"/>
      <c r="L111" s="91"/>
      <c r="M111" s="92"/>
      <c r="N111" s="241"/>
    </row>
    <row r="112" spans="1:14" ht="15.75" hidden="1" thickBot="1">
      <c r="A112" s="119" t="s">
        <v>107</v>
      </c>
      <c r="B112" s="92"/>
      <c r="C112" s="91"/>
      <c r="D112" s="92"/>
      <c r="E112" s="91"/>
      <c r="F112" s="92"/>
      <c r="G112" s="91"/>
      <c r="H112" s="92"/>
      <c r="I112" s="92"/>
      <c r="J112" s="91"/>
      <c r="K112" s="92"/>
      <c r="L112" s="91"/>
      <c r="M112" s="92"/>
      <c r="N112" s="241"/>
    </row>
    <row r="113" spans="1:14" ht="15.75" hidden="1" thickBot="1">
      <c r="A113" s="93" t="s">
        <v>96</v>
      </c>
      <c r="B113" s="94">
        <f>+ROUND(SUMIF(I82:I108,"4/0",U82:U110)*1.015,0)</f>
        <v>0</v>
      </c>
      <c r="C113" s="93" t="s">
        <v>97</v>
      </c>
      <c r="D113" s="94">
        <f>ROUND((SUMIF(I82:I108,"3/0",U82:U110))*1.015,0)</f>
        <v>0</v>
      </c>
      <c r="E113" s="93" t="s">
        <v>95</v>
      </c>
      <c r="F113" s="94">
        <f>ROUND((SUMIF(I82:I108,"2/0",U82:U110))*1.015,0)</f>
        <v>0</v>
      </c>
      <c r="G113" s="93" t="s">
        <v>57</v>
      </c>
      <c r="H113" s="94">
        <f>ROUND((SUMIF(I82:I108,"1/0",U82:U110))*1.015,0)</f>
        <v>204</v>
      </c>
      <c r="I113" s="93" t="s">
        <v>58</v>
      </c>
      <c r="J113" s="94">
        <f>ROUND((SUMIF(I82:I108,"2",U82:U110))*1.015,0)</f>
        <v>0</v>
      </c>
      <c r="L113" s="91"/>
      <c r="M113" s="92"/>
      <c r="N113" s="241"/>
    </row>
    <row r="114" spans="1:14" ht="15.75" hidden="1" thickBot="1">
      <c r="A114" s="244" t="s">
        <v>123</v>
      </c>
      <c r="B114" s="244"/>
      <c r="C114" s="244"/>
      <c r="D114" s="21">
        <f>IF(N69="","",SUM(C82:C108))</f>
        <v>201</v>
      </c>
      <c r="E114" s="28" t="s">
        <v>59</v>
      </c>
      <c r="G114" s="21"/>
      <c r="H114" s="21"/>
      <c r="I114" s="21"/>
      <c r="J114" s="21"/>
      <c r="K114" s="21"/>
      <c r="L114" s="21"/>
      <c r="M114" s="23"/>
      <c r="N114" s="83" t="s">
        <v>80</v>
      </c>
    </row>
    <row r="115" spans="1:14" ht="15" hidden="1">
      <c r="A115" s="36" t="s">
        <v>60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9"/>
      <c r="N115" s="84" t="s">
        <v>61</v>
      </c>
    </row>
    <row r="116" spans="1:14" ht="15.75" hidden="1" thickBot="1">
      <c r="A116" s="148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3"/>
      <c r="N116" s="85">
        <f>MAX(N82:N108)</f>
        <v>4.099999999999999</v>
      </c>
    </row>
    <row r="117" spans="1:14" ht="15" hidden="1">
      <c r="A117" s="195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7"/>
    </row>
    <row r="118" ht="15.75" hidden="1" thickBot="1"/>
    <row r="119" spans="1:14" ht="15.75" hidden="1" thickBot="1">
      <c r="A119" s="18"/>
      <c r="B119" s="18"/>
      <c r="C119" s="19"/>
      <c r="D119" s="19"/>
      <c r="E119" s="19"/>
      <c r="F119" s="20"/>
      <c r="G119" s="18"/>
      <c r="H119" s="18"/>
      <c r="I119" s="18"/>
      <c r="J119" s="19"/>
      <c r="K119" s="18"/>
      <c r="L119" s="18"/>
      <c r="M119" s="131" t="s">
        <v>122</v>
      </c>
      <c r="N119" s="161" t="s">
        <v>207</v>
      </c>
    </row>
    <row r="120" spans="1:14" ht="18" hidden="1">
      <c r="A120" s="245" t="s">
        <v>62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</row>
    <row r="121" spans="1:14" ht="18" hidden="1">
      <c r="A121" s="192"/>
      <c r="B121" s="192"/>
      <c r="C121" s="192"/>
      <c r="D121" s="192"/>
      <c r="E121" s="192"/>
      <c r="F121" s="22" t="s">
        <v>111</v>
      </c>
      <c r="G121" s="192"/>
      <c r="H121" s="192"/>
      <c r="I121" s="192"/>
      <c r="J121" s="192"/>
      <c r="K121" s="192"/>
      <c r="L121" s="192"/>
      <c r="M121" s="192"/>
      <c r="N121" s="87"/>
    </row>
    <row r="122" spans="1:31" ht="15.75" hidden="1">
      <c r="A122" s="246" t="s">
        <v>112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U122" s="138" t="s">
        <v>63</v>
      </c>
      <c r="W122" s="138" t="s">
        <v>24</v>
      </c>
      <c r="Y122" s="138" t="s">
        <v>69</v>
      </c>
      <c r="AA122" s="138" t="s">
        <v>72</v>
      </c>
      <c r="AB122" s="138" t="s">
        <v>77</v>
      </c>
      <c r="AC122" s="138" t="s">
        <v>79</v>
      </c>
      <c r="AD122" s="138" t="s">
        <v>170</v>
      </c>
      <c r="AE122" s="138" t="s">
        <v>176</v>
      </c>
    </row>
    <row r="123" spans="1:31" ht="16.5" hidden="1" thickBot="1">
      <c r="A123" s="24"/>
      <c r="B123" s="18"/>
      <c r="C123" s="19"/>
      <c r="D123" s="19"/>
      <c r="E123" s="19"/>
      <c r="F123" s="20"/>
      <c r="G123" s="20"/>
      <c r="H123" s="18"/>
      <c r="I123" s="18"/>
      <c r="J123" s="18"/>
      <c r="K123" s="19"/>
      <c r="L123" s="18"/>
      <c r="M123" s="18"/>
      <c r="N123" s="23"/>
      <c r="U123" s="138" t="s">
        <v>64</v>
      </c>
      <c r="W123" s="138" t="s">
        <v>82</v>
      </c>
      <c r="Y123" s="138" t="s">
        <v>70</v>
      </c>
      <c r="AA123" s="138" t="s">
        <v>73</v>
      </c>
      <c r="AB123" s="138" t="s">
        <v>29</v>
      </c>
      <c r="AC123" s="139">
        <v>2</v>
      </c>
      <c r="AD123" s="138" t="s">
        <v>171</v>
      </c>
      <c r="AE123" s="138">
        <v>0.65</v>
      </c>
    </row>
    <row r="124" spans="1:31" ht="15.75" hidden="1" thickBot="1">
      <c r="A124" s="25" t="s">
        <v>23</v>
      </c>
      <c r="B124" s="26"/>
      <c r="C124" s="88"/>
      <c r="D124" s="258" t="s">
        <v>64</v>
      </c>
      <c r="E124" s="258"/>
      <c r="F124" s="266" t="s">
        <v>92</v>
      </c>
      <c r="G124" s="267"/>
      <c r="H124" s="263" t="str">
        <f>+H65</f>
        <v>Puerto Villamil</v>
      </c>
      <c r="I124" s="264"/>
      <c r="J124" s="265"/>
      <c r="K124" s="268" t="s">
        <v>81</v>
      </c>
      <c r="L124" s="269"/>
      <c r="M124" s="261" t="str">
        <f>+M65</f>
        <v>Pedregal V</v>
      </c>
      <c r="N124" s="262"/>
      <c r="U124" s="138" t="s">
        <v>65</v>
      </c>
      <c r="W124" s="138" t="s">
        <v>83</v>
      </c>
      <c r="Y124" s="138" t="s">
        <v>7</v>
      </c>
      <c r="AA124" s="138" t="s">
        <v>76</v>
      </c>
      <c r="AB124" s="138" t="s">
        <v>78</v>
      </c>
      <c r="AC124" s="139" t="s">
        <v>0</v>
      </c>
      <c r="AD124" s="138" t="s">
        <v>172</v>
      </c>
      <c r="AE124" s="138">
        <v>0.7</v>
      </c>
    </row>
    <row r="125" spans="1:31" ht="15.75" hidden="1" thickBot="1">
      <c r="A125" s="21"/>
      <c r="B125" s="21"/>
      <c r="C125" s="21"/>
      <c r="D125" s="21"/>
      <c r="E125" s="21"/>
      <c r="F125" s="28"/>
      <c r="G125" s="28"/>
      <c r="H125" s="21"/>
      <c r="I125" s="21"/>
      <c r="J125" s="21"/>
      <c r="K125" s="21"/>
      <c r="L125" s="21"/>
      <c r="M125" s="21"/>
      <c r="N125" s="23"/>
      <c r="U125" s="138" t="s">
        <v>66</v>
      </c>
      <c r="W125" s="138" t="s">
        <v>68</v>
      </c>
      <c r="Y125" s="138" t="s">
        <v>27</v>
      </c>
      <c r="AA125" s="138" t="s">
        <v>74</v>
      </c>
      <c r="AC125" s="139" t="s">
        <v>1</v>
      </c>
      <c r="AD125" s="138" t="s">
        <v>173</v>
      </c>
      <c r="AE125" s="138">
        <v>0.8</v>
      </c>
    </row>
    <row r="126" spans="1:31" ht="15.75" hidden="1" thickBot="1">
      <c r="A126" s="25" t="s">
        <v>24</v>
      </c>
      <c r="B126" s="26"/>
      <c r="C126" s="26"/>
      <c r="D126" s="259" t="s">
        <v>68</v>
      </c>
      <c r="E126" s="258"/>
      <c r="F126" s="260"/>
      <c r="G126" s="26"/>
      <c r="H126" s="29"/>
      <c r="I126" s="29"/>
      <c r="J126" s="26"/>
      <c r="K126" s="26"/>
      <c r="L126" s="26" t="s">
        <v>174</v>
      </c>
      <c r="M126" s="26"/>
      <c r="N126" s="211" t="s">
        <v>173</v>
      </c>
      <c r="U126" s="138" t="s">
        <v>67</v>
      </c>
      <c r="Y126" s="138" t="s">
        <v>9</v>
      </c>
      <c r="AA126" s="138" t="s">
        <v>75</v>
      </c>
      <c r="AC126" s="139" t="s">
        <v>2</v>
      </c>
      <c r="AE126" s="138">
        <v>0.9</v>
      </c>
    </row>
    <row r="127" spans="1:31" ht="15.75" hidden="1" thickBot="1">
      <c r="A127" s="23" t="s">
        <v>25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 t="s">
        <v>178</v>
      </c>
      <c r="L127" s="208"/>
      <c r="M127" s="23"/>
      <c r="N127" s="43" t="str">
        <f>IF(N128="","",IF(N128="3F","220 / 127 V","240 / 120 V"))</f>
        <v>220 / 127 V</v>
      </c>
      <c r="AC127" s="141" t="s">
        <v>3</v>
      </c>
      <c r="AE127" s="138">
        <v>1</v>
      </c>
    </row>
    <row r="128" spans="1:24" ht="15.75" hidden="1" thickBot="1">
      <c r="A128" s="30" t="s">
        <v>26</v>
      </c>
      <c r="B128" s="18"/>
      <c r="C128" s="23"/>
      <c r="D128" s="253" t="s">
        <v>70</v>
      </c>
      <c r="E128" s="254"/>
      <c r="F128" s="18"/>
      <c r="G128" s="18"/>
      <c r="H128" s="18"/>
      <c r="I128" s="18"/>
      <c r="J128" s="18"/>
      <c r="K128" s="23"/>
      <c r="L128" s="18" t="s">
        <v>179</v>
      </c>
      <c r="M128" s="18"/>
      <c r="N128" s="151" t="s">
        <v>78</v>
      </c>
      <c r="U128" s="138" t="s">
        <v>64</v>
      </c>
      <c r="W128" s="138" t="s">
        <v>29</v>
      </c>
      <c r="X128" s="138" t="s">
        <v>78</v>
      </c>
    </row>
    <row r="129" spans="1:24" ht="15.75" hidden="1" thickBot="1">
      <c r="A129" s="23"/>
      <c r="B129" s="31"/>
      <c r="C129" s="23"/>
      <c r="D129" s="19"/>
      <c r="E129" s="32"/>
      <c r="F129" s="32"/>
      <c r="G129" s="20"/>
      <c r="H129" s="20"/>
      <c r="I129" s="20"/>
      <c r="J129" s="33"/>
      <c r="K129" s="21" t="s">
        <v>175</v>
      </c>
      <c r="L129" s="35"/>
      <c r="M129" s="18"/>
      <c r="N129" s="209">
        <v>0.8</v>
      </c>
      <c r="U129" s="138" t="s">
        <v>84</v>
      </c>
      <c r="W129" s="138">
        <v>10</v>
      </c>
      <c r="X129" s="138">
        <v>30</v>
      </c>
    </row>
    <row r="130" spans="1:24" ht="15.75" hidden="1" thickBot="1">
      <c r="A130" s="36" t="s">
        <v>71</v>
      </c>
      <c r="B130" s="37"/>
      <c r="C130" s="37"/>
      <c r="D130" s="150" t="s">
        <v>73</v>
      </c>
      <c r="E130" s="38"/>
      <c r="F130" s="39"/>
      <c r="G130" s="39"/>
      <c r="H130" s="39"/>
      <c r="I130" s="39"/>
      <c r="J130" s="37"/>
      <c r="K130" s="36"/>
      <c r="L130" s="37"/>
      <c r="M130" s="89" t="s">
        <v>30</v>
      </c>
      <c r="N130" s="190" t="s">
        <v>139</v>
      </c>
      <c r="U130" s="138" t="s">
        <v>85</v>
      </c>
      <c r="W130" s="138">
        <v>15</v>
      </c>
      <c r="X130" s="138">
        <v>50</v>
      </c>
    </row>
    <row r="131" spans="1:24" ht="15.75" hidden="1" thickBot="1">
      <c r="A131" s="41" t="s">
        <v>31</v>
      </c>
      <c r="B131" s="21"/>
      <c r="C131" s="21"/>
      <c r="D131" s="150">
        <v>19</v>
      </c>
      <c r="E131" s="21"/>
      <c r="F131" s="28"/>
      <c r="G131" s="42" t="s">
        <v>32</v>
      </c>
      <c r="H131" s="274" t="str">
        <f>+H72</f>
        <v>J.P</v>
      </c>
      <c r="I131" s="275"/>
      <c r="J131" s="275"/>
      <c r="K131" s="41"/>
      <c r="L131" s="21"/>
      <c r="M131" s="115" t="s">
        <v>93</v>
      </c>
      <c r="N131" s="210">
        <f>+N132/N129</f>
        <v>118.72328783502078</v>
      </c>
      <c r="U131" s="138" t="s">
        <v>86</v>
      </c>
      <c r="W131" s="138">
        <v>25</v>
      </c>
      <c r="X131" s="138">
        <v>75</v>
      </c>
    </row>
    <row r="132" spans="1:24" ht="15.75" hidden="1" thickBot="1">
      <c r="A132" s="41" t="s">
        <v>34</v>
      </c>
      <c r="B132" s="21"/>
      <c r="C132" s="21"/>
      <c r="D132" s="162">
        <v>330</v>
      </c>
      <c r="E132" s="41"/>
      <c r="F132" s="28"/>
      <c r="G132" s="42" t="s">
        <v>35</v>
      </c>
      <c r="H132" s="249">
        <f>+H73</f>
        <v>43511</v>
      </c>
      <c r="I132" s="250"/>
      <c r="J132" s="250"/>
      <c r="K132" s="41"/>
      <c r="L132" s="21"/>
      <c r="M132" s="115" t="s">
        <v>177</v>
      </c>
      <c r="N132" s="116">
        <f>IF($N$126="","",IF($N$126="INDUSTRIAL",IF(OR(D124="",D130="",D131=""),"",(IF(OR(D124="SAN CRISTOBAL",D124="FLOREANA"),VLOOKUP(D131,'Estratos SCY - FLO'!$A$4:$M$108,IF(D130="A1",2,IF(D130="A",5,IF(D130="B",8,11))),0),VLOOKUP(D131,'Estratos SCX - ISA'!$A$4:$M$108,IF(D130="A1",2,IF(D130="A",5,IF(D130="B",8,11))),0))+D132/920)*N129),IF(OR(D124="",D130="",D131=""),"",(IF(OR(D124="SAN CRISTOBAL",D124="FLOREANA"),VLOOKUP(D131,'Estratos SCY - FLO'!$O$4:$S$108,IF(D130="A1",2,IF(D130="A",3,IF(D130="B",4,5))),0),VLOOKUP(D131,'Estratos SCX - ISA'!$O$4:$S$108,IF(D130="A1",2,IF(D130="A",3,IF(D130="B",4,5))),0))+D132/920)*N129)))</f>
        <v>94.97863026801663</v>
      </c>
      <c r="U132" s="138" t="s">
        <v>87</v>
      </c>
      <c r="W132" s="138">
        <v>37.5</v>
      </c>
      <c r="X132" s="138">
        <v>100</v>
      </c>
    </row>
    <row r="133" spans="1:24" ht="37.5" customHeight="1" hidden="1" thickBot="1">
      <c r="A133" s="270" t="str">
        <f>+IF(OR(N126="INDUSTRIAL"),"NOTA: Estratos:  A1 (Consumo-Alto); A (Consumo-Medio); B(Consumo-Bajo); C(Consumo-Mínimo)",IF(N126="","","NOTA: Estratos:  A1 (Casco Urbano-Sector hotelero);A (Barrios Centricos); B(Zona Periferica); C(Zona Rural)"))</f>
        <v>NOTA: Estratos:  A1 (Consumo-Alto); A (Consumo-Medio); B(Consumo-Bajo); C(Consumo-Mínimo)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44"/>
      <c r="L133" s="34"/>
      <c r="M133" s="130" t="str">
        <f>+IF(OR(N128="",D130="",D131=""),"","POT. NOMINAL TRAFO. (KVA):")</f>
        <v>POT. NOMINAL TRAFO. (KVA):</v>
      </c>
      <c r="N133" s="117">
        <f>IF(OR(N128="",N129="",N129=0),"",IF(N128="1F",IF(N132&lt;$W$11,$W$11,IF(AND(N132&gt;$W$11,N132&lt;$W$12),$W$12,IF(AND(N132&gt;$W$12,N132&lt;$W$13),$W$13,IF(AND(N132&gt;$W$13,N132&lt;$W$14),$W$14,IF(AND(N132&gt;$W$14,N132&lt;$W$15),$W$15,IF(AND(N132&gt;$W$15,N132&lt;$W$16),$W$16,IF(AND(N132&gt;$W$16,N132&lt;$W$17),$W$17,IF(AND(N132&gt;$W$17,N132&lt;$W$18),$W$18,IF(AND(N132&gt;$W$18,N132&lt;$W$19),$W$19,""))))))))),IF($N$132&lt;$X$11,$X$11,IF(AND(N132&gt;$X$11,N132&lt;$X$12),$X$12,IF(AND(N132&gt;$X$12,N132&lt;$X$13),$X$13,IF(AND(N132&gt;$X$13,N132&lt;$X$14),$X$14,IF(AND(N132&gt;$X$14,N132&lt;$X$15),$X$15,IF(AND(N132&gt;$X$15,N132&lt;$X$16),$X$16,IF(AND(N132&gt;$X$16,N132&lt;$X$17),$X$17,"")))))))))</f>
        <v>100</v>
      </c>
      <c r="U133" s="138" t="s">
        <v>88</v>
      </c>
      <c r="W133" s="138">
        <v>50</v>
      </c>
      <c r="X133" s="138">
        <v>125</v>
      </c>
    </row>
    <row r="134" spans="1:24" ht="15.75" hidden="1" thickBot="1">
      <c r="A134" s="21"/>
      <c r="B134" s="21"/>
      <c r="C134" s="21"/>
      <c r="D134" s="21"/>
      <c r="E134" s="21"/>
      <c r="F134" s="28"/>
      <c r="G134" s="28"/>
      <c r="H134" s="21"/>
      <c r="I134" s="21"/>
      <c r="J134" s="21"/>
      <c r="K134" s="21"/>
      <c r="L134" s="21"/>
      <c r="M134" s="21"/>
      <c r="N134" s="23"/>
      <c r="U134" s="138" t="s">
        <v>89</v>
      </c>
      <c r="W134" s="138">
        <v>75</v>
      </c>
      <c r="X134" s="138">
        <v>150</v>
      </c>
    </row>
    <row r="135" spans="1:24" ht="19.5" hidden="1" thickBot="1">
      <c r="A135" s="46" t="s">
        <v>36</v>
      </c>
      <c r="B135" s="47"/>
      <c r="C135" s="47"/>
      <c r="D135" s="48" t="s">
        <v>37</v>
      </c>
      <c r="E135" s="49"/>
      <c r="F135" s="50"/>
      <c r="G135" s="50"/>
      <c r="H135" s="37"/>
      <c r="I135" s="37"/>
      <c r="J135" s="37"/>
      <c r="K135" s="37"/>
      <c r="L135" s="37"/>
      <c r="M135" s="37"/>
      <c r="N135" s="40"/>
      <c r="U135" s="138" t="s">
        <v>90</v>
      </c>
      <c r="W135" s="138">
        <v>100</v>
      </c>
      <c r="X135" s="138">
        <v>200</v>
      </c>
    </row>
    <row r="136" spans="1:23" ht="15.75" hidden="1" thickBot="1">
      <c r="A136" s="41"/>
      <c r="B136" s="21"/>
      <c r="C136" s="21"/>
      <c r="D136" s="21"/>
      <c r="E136" s="21"/>
      <c r="F136" s="28"/>
      <c r="G136" s="28"/>
      <c r="H136" s="21"/>
      <c r="I136" s="21"/>
      <c r="J136" s="21"/>
      <c r="K136" s="21"/>
      <c r="L136" s="21" t="s">
        <v>196</v>
      </c>
      <c r="M136" s="21"/>
      <c r="N136" s="163"/>
      <c r="U136" s="138" t="s">
        <v>91</v>
      </c>
      <c r="W136" s="138">
        <v>112.5</v>
      </c>
    </row>
    <row r="137" spans="1:23" ht="15.75" hidden="1" thickBot="1">
      <c r="A137" s="44"/>
      <c r="B137" s="34"/>
      <c r="C137" s="34"/>
      <c r="D137" s="34"/>
      <c r="E137" s="34"/>
      <c r="F137" s="45"/>
      <c r="G137" s="45"/>
      <c r="H137" s="34"/>
      <c r="I137" s="34"/>
      <c r="J137" s="34"/>
      <c r="K137" s="34"/>
      <c r="L137" s="113" t="s">
        <v>102</v>
      </c>
      <c r="M137" s="142"/>
      <c r="N137" s="163" t="s">
        <v>140</v>
      </c>
      <c r="W137" s="138">
        <v>125</v>
      </c>
    </row>
    <row r="138" spans="1:14" ht="15.75" hidden="1" thickBot="1">
      <c r="A138" s="21"/>
      <c r="B138" s="21"/>
      <c r="C138" s="21"/>
      <c r="D138" s="21"/>
      <c r="E138" s="21"/>
      <c r="F138" s="28"/>
      <c r="G138" s="28"/>
      <c r="H138" s="21"/>
      <c r="I138" s="21"/>
      <c r="J138" s="21"/>
      <c r="K138" s="21"/>
      <c r="L138" s="21"/>
      <c r="M138" s="21"/>
      <c r="N138" s="23"/>
    </row>
    <row r="139" spans="1:22" ht="15.75" hidden="1" thickBot="1">
      <c r="A139" s="257" t="s">
        <v>38</v>
      </c>
      <c r="B139" s="252"/>
      <c r="C139" s="52" t="s">
        <v>39</v>
      </c>
      <c r="D139" s="52" t="s">
        <v>40</v>
      </c>
      <c r="E139" s="53" t="s">
        <v>41</v>
      </c>
      <c r="F139" s="53" t="s">
        <v>42</v>
      </c>
      <c r="G139" s="257" t="s">
        <v>43</v>
      </c>
      <c r="H139" s="251"/>
      <c r="I139" s="251"/>
      <c r="J139" s="252"/>
      <c r="K139" s="255" t="s">
        <v>44</v>
      </c>
      <c r="L139" s="251" t="s">
        <v>45</v>
      </c>
      <c r="M139" s="251"/>
      <c r="N139" s="252"/>
      <c r="U139" s="237" t="s">
        <v>98</v>
      </c>
      <c r="V139" s="237" t="s">
        <v>99</v>
      </c>
    </row>
    <row r="140" spans="1:22" ht="15.75" hidden="1" thickBot="1">
      <c r="A140" s="52" t="s">
        <v>46</v>
      </c>
      <c r="B140" s="52" t="s">
        <v>47</v>
      </c>
      <c r="C140" s="54" t="s">
        <v>48</v>
      </c>
      <c r="D140" s="54" t="s">
        <v>49</v>
      </c>
      <c r="E140" s="55" t="s">
        <v>50</v>
      </c>
      <c r="F140" s="55" t="s">
        <v>51</v>
      </c>
      <c r="G140" s="56" t="s">
        <v>52</v>
      </c>
      <c r="H140" s="43" t="s">
        <v>105</v>
      </c>
      <c r="I140" s="124" t="s">
        <v>106</v>
      </c>
      <c r="J140" s="43" t="s">
        <v>53</v>
      </c>
      <c r="K140" s="256"/>
      <c r="L140" s="53" t="s">
        <v>54</v>
      </c>
      <c r="M140" s="43" t="s">
        <v>55</v>
      </c>
      <c r="N140" s="57" t="s">
        <v>56</v>
      </c>
      <c r="U140" s="237"/>
      <c r="V140" s="237"/>
    </row>
    <row r="141" spans="1:22" ht="15" hidden="1">
      <c r="A141" s="191" t="str">
        <f>IF(N137="","",N137)</f>
        <v>P18</v>
      </c>
      <c r="B141" s="164" t="s">
        <v>143</v>
      </c>
      <c r="C141" s="165">
        <v>29</v>
      </c>
      <c r="D141" s="165">
        <v>7</v>
      </c>
      <c r="E141" s="166">
        <v>110</v>
      </c>
      <c r="F141" s="193">
        <f>IF($N$126="","",IF($N$126="INDUSTRIAL",IF(OR($D$124="",$D$130=""),"",IF(OR(D141&gt;$D$131,E141&gt;$D$132),"Rev. Total. abona.",IF(D141="",IF(E141="","",E141/(0.92*1000)),IF(OR($D$124="SAN CRISTOBAL",$D$124="FLOREANA"),VLOOKUP(D141,'Estratos SCY - FLO'!$A$4:$M$108,IF($D$130="A1",2,IF($D$130="A",5,IF($D$130="B",8,11))))+E141/(0.92*1000),VLOOKUP(D141,'Estratos SCX - ISA'!$A$3:$M$107,IF($D$130="A1",2,IF($D$130="A",5,IF($D$130="B",8,11))))+E141/(0.92*1000))))),IF(OR($D$124="",$D$130=""),"",IF(OR(D141&gt;$D$131,E141&gt;$D$132),"Rev. Total. abona.",IF(D141="",IF(E141="","",E141/(0.92*1000)),IF(OR($D$124="SAN CRISTOBAL",$D$124="FLOREANA"),VLOOKUP(D141,'Estratos SCY - FLO'!$O$4:$S$108,IF($D$130="A1",2,IF($D$130="A",3,IF($D$130="B",4,5))))+E141/(0.92*1000),VLOOKUP(D141,'Estratos SCX - ISA'!$O$4:$S$108,IF($D$130="A1",2,IF($D$130="A",3,IF($D$130="B",4,5))))+E141/(0.92*1000)))))))</f>
        <v>47.828008479129984</v>
      </c>
      <c r="G141" s="95">
        <f>IF(OR($N$10="",C141=""),"",IF($N$10="1F",1,3))</f>
        <v>1</v>
      </c>
      <c r="H141" s="182" t="s">
        <v>1</v>
      </c>
      <c r="I141" s="182" t="s">
        <v>1</v>
      </c>
      <c r="J141" s="95">
        <f>IF(OR(H141="",$D$10="",$N$10=""),"",IF($D$10="COBRE",VLOOKUP(CDV_PROY_BT!H141,FDV!$B$16:$E$24,IF(CDV_PROY_BT!$N$10="3F",3,4),FALSE),IF($D$10="ACS",VLOOKUP(CDV_PROY_BT!H141,FDV!$B$10:$E$15,IF(CDV_PROY_BT!$N$10="3F",3,4),FALSE),IF($D$10="5005 (PREENSAMBLADO)",VLOOKUP(CDV_PROY_BT!H141,FDV!$B$4:$E$9,IF(CDV_PROY_BT!$N$10="3F",3,4),FALSE),VLOOKUP(CDV_PROY_BT!H141,FDV!$B$25:$E$30,IF(CDV_PROY_BT!$N$10="3F",3,4),FALSE)))))</f>
        <v>495</v>
      </c>
      <c r="K141" s="60">
        <f aca="true" t="shared" si="18" ref="K141:K168">IF(C141="","",ROUND(F141*C141,0))</f>
        <v>1387</v>
      </c>
      <c r="L141" s="61">
        <f>IF($N$19="","",IF(C141="","",ROUND(K141/J141,2)))</f>
        <v>2.8</v>
      </c>
      <c r="M141" s="61">
        <f>IF(C141="","",VLOOKUP(A141,$B$141:$N$168,12,FALSE)+L141+N136)</f>
        <v>2.8</v>
      </c>
      <c r="N141" s="154">
        <f>+M141</f>
        <v>2.8</v>
      </c>
      <c r="U141" s="138">
        <f>+IF(C141="",0,C141)</f>
        <v>29</v>
      </c>
      <c r="V141" s="138">
        <f>IF(OR(C141="",G141=""),0,C141*G141)</f>
        <v>29</v>
      </c>
    </row>
    <row r="142" spans="1:22" ht="15" hidden="1">
      <c r="A142" s="167" t="s">
        <v>140</v>
      </c>
      <c r="B142" s="168" t="s">
        <v>141</v>
      </c>
      <c r="C142" s="169">
        <v>29</v>
      </c>
      <c r="D142" s="169">
        <v>8</v>
      </c>
      <c r="E142" s="170">
        <v>110</v>
      </c>
      <c r="F142" s="62">
        <f>IF($N$126="","",IF($N$126="INDUSTRIAL",IF(OR($D$124="",$D$130=""),"",IF(OR(D142&gt;$D$131,E142&gt;$D$132),"Rev. Total. abona.",IF(D142="",IF(E142="","",E142/(0.92*1000)),IF(OR($D$124="SAN CRISTOBAL",$D$124="FLOREANA"),VLOOKUP(D142,'Estratos SCY - FLO'!$A$4:$M$108,IF($D$130="A1",2,IF($D$130="A",5,IF($D$130="B",8,11))))+E142/(0.92*1000),VLOOKUP(D142,'Estratos SCX - ISA'!$A$3:$M$107,IF($D$130="A1",2,IF($D$130="A",5,IF($D$130="B",8,11))))+E142/(0.92*1000))))),IF(OR($D$124="",$D$130=""),"",IF(OR(D142&gt;$D$131,E142&gt;$D$132),"Rev. Total. abona.",IF(D142="",IF(E142="","",E142/(0.92*1000)),IF(OR($D$124="SAN CRISTOBAL",$D$124="FLOREANA"),VLOOKUP(D142,'Estratos SCY - FLO'!$O$4:$S$108,IF($D$130="A1",2,IF($D$130="A",3,IF($D$130="B",4,5))))+E142/(0.92*1000),VLOOKUP(D142,'Estratos SCX - ISA'!$O$4:$S$108,IF($D$130="A1",2,IF($D$130="A",3,IF($D$130="B",4,5))))+E142/(0.92*1000)))))))</f>
        <v>53.99216291349743</v>
      </c>
      <c r="G142" s="59">
        <f aca="true" t="shared" si="19" ref="G142:G168">IF(OR($N$10="",C142=""),"",IF($N$10="1F",1,3))</f>
        <v>1</v>
      </c>
      <c r="H142" s="183" t="s">
        <v>1</v>
      </c>
      <c r="I142" s="183" t="s">
        <v>1</v>
      </c>
      <c r="J142" s="59">
        <f>IF(OR(H142="",$D$10="",$N$10=""),"",IF($D$10="COBRE",VLOOKUP(CDV_PROY_BT!H142,FDV!$B$16:$E$24,IF(CDV_PROY_BT!$N$10="3F",3,4),FALSE),IF($D$10="ACS",VLOOKUP(CDV_PROY_BT!H142,FDV!$B$10:$E$15,IF(CDV_PROY_BT!$N$10="3F",3,4),FALSE),IF($D$10="5005 (PREENSAMBLADO)",VLOOKUP(CDV_PROY_BT!H142,FDV!$B$4:$E$9,IF(CDV_PROY_BT!$N$10="3F",3,4),FALSE),VLOOKUP(CDV_PROY_BT!H142,FDV!$B$25:$E$30,IF(CDV_PROY_BT!$N$10="3F",3,4),FALSE)))))</f>
        <v>495</v>
      </c>
      <c r="K142" s="63">
        <f t="shared" si="18"/>
        <v>1566</v>
      </c>
      <c r="L142" s="62">
        <f aca="true" t="shared" si="20" ref="L142:L167">IF($N$19="","",IF(C142="","",ROUND(K142/J142,2)))</f>
        <v>3.16</v>
      </c>
      <c r="M142" s="62">
        <f aca="true" t="shared" si="21" ref="M142:M167">IF(C142="","",VLOOKUP(A142,$B$141:$N$168,12,FALSE)+L142)</f>
        <v>3.16</v>
      </c>
      <c r="N142" s="155">
        <f>+M142</f>
        <v>3.16</v>
      </c>
      <c r="U142" s="138">
        <f aca="true" t="shared" si="22" ref="U142:U167">+IF(C142="",0,C142)</f>
        <v>29</v>
      </c>
      <c r="V142" s="138">
        <f aca="true" t="shared" si="23" ref="V142:V167">IF(OR(C142="",G142=""),0,C142*G142)</f>
        <v>29</v>
      </c>
    </row>
    <row r="143" spans="1:22" ht="15" hidden="1">
      <c r="A143" s="167"/>
      <c r="B143" s="168"/>
      <c r="C143" s="169"/>
      <c r="D143" s="169"/>
      <c r="E143" s="170"/>
      <c r="F143" s="58" t="str">
        <f>IF($N$126="","",IF($N$126="INDUSTRIAL",IF(OR($D$124="",$D$130=""),"",IF(OR(D143&gt;$D$131,E143&gt;$D$132),"Rev. Total. abona.",IF(D143="",IF(E143="","",E143/(0.92*1000)),IF(OR($D$124="SAN CRISTOBAL",$D$124="FLOREANA"),VLOOKUP(D143,'Estratos SCY - FLO'!$A$4:$M$108,IF($D$130="A1",2,IF($D$130="A",5,IF($D$130="B",8,11))))+E143/(0.92*1000),VLOOKUP(D143,'Estratos SCX - ISA'!$A$3:$M$107,IF($D$130="A1",2,IF($D$130="A",5,IF($D$130="B",8,11))))+E143/(0.92*1000))))),IF(OR($D$124="",$D$130=""),"",IF(OR(D143&gt;$D$131,E143&gt;$D$132),"Rev. Total. abona.",IF(D143="",IF(E143="","",E143/(0.92*1000)),IF(OR($D$124="SAN CRISTOBAL",$D$124="FLOREANA"),VLOOKUP(D143,'Estratos SCY - FLO'!$O$4:$S$108,IF($D$130="A1",2,IF($D$130="A",3,IF($D$130="B",4,5))))+E143/(0.92*1000),VLOOKUP(D143,'Estratos SCX - ISA'!$O$4:$S$108,IF($D$130="A1",2,IF($D$130="A",3,IF($D$130="B",4,5))))+E143/(0.92*1000)))))))</f>
        <v/>
      </c>
      <c r="G143" s="59" t="str">
        <f t="shared" si="19"/>
        <v/>
      </c>
      <c r="H143" s="183"/>
      <c r="I143" s="183"/>
      <c r="J143" s="59" t="str">
        <f>IF(OR(H143="",$D$10="",$N$10=""),"",IF($D$10="COBRE",VLOOKUP(CDV_PROY_BT!H143,FDV!$B$16:$E$24,IF(CDV_PROY_BT!$N$10="3F",3,4),FALSE),IF($D$10="ACS",VLOOKUP(CDV_PROY_BT!H143,FDV!$B$10:$E$15,IF(CDV_PROY_BT!$N$10="3F",3,4),FALSE),IF($D$10="5005 (PREENSAMBLADO)",VLOOKUP(CDV_PROY_BT!H143,FDV!$B$4:$E$9,IF(CDV_PROY_BT!$N$10="3F",3,4),FALSE),VLOOKUP(CDV_PROY_BT!H143,FDV!$B$25:$E$30,IF(CDV_PROY_BT!$N$10="3F",3,4),FALSE)))))</f>
        <v/>
      </c>
      <c r="K143" s="63" t="str">
        <f t="shared" si="18"/>
        <v/>
      </c>
      <c r="L143" s="62" t="str">
        <f t="shared" si="20"/>
        <v/>
      </c>
      <c r="M143" s="62" t="str">
        <f t="shared" si="21"/>
        <v/>
      </c>
      <c r="N143" s="155"/>
      <c r="U143" s="138">
        <f t="shared" si="22"/>
        <v>0</v>
      </c>
      <c r="V143" s="138">
        <f t="shared" si="23"/>
        <v>0</v>
      </c>
    </row>
    <row r="144" spans="1:22" ht="15" hidden="1">
      <c r="A144" s="167"/>
      <c r="B144" s="168"/>
      <c r="C144" s="169"/>
      <c r="D144" s="169"/>
      <c r="E144" s="170"/>
      <c r="F144" s="58" t="str">
        <f>IF($N$126="","",IF($N$126="INDUSTRIAL",IF(OR($D$124="",$D$130=""),"",IF(OR(D144&gt;$D$131,E144&gt;$D$132),"Rev. Total. abona.",IF(D144="",IF(E144="","",E144/(0.92*1000)),IF(OR($D$124="SAN CRISTOBAL",$D$124="FLOREANA"),VLOOKUP(D144,'Estratos SCY - FLO'!$A$4:$M$108,IF($D$130="A1",2,IF($D$130="A",5,IF($D$130="B",8,11))))+E144/(0.92*1000),VLOOKUP(D144,'Estratos SCX - ISA'!$A$3:$M$107,IF($D$130="A1",2,IF($D$130="A",5,IF($D$130="B",8,11))))+E144/(0.92*1000))))),IF(OR($D$124="",$D$130=""),"",IF(OR(D144&gt;$D$131,E144&gt;$D$132),"Rev. Total. abona.",IF(D144="",IF(E144="","",E144/(0.92*1000)),IF(OR($D$124="SAN CRISTOBAL",$D$124="FLOREANA"),VLOOKUP(D144,'Estratos SCY - FLO'!$O$4:$S$108,IF($D$130="A1",2,IF($D$130="A",3,IF($D$130="B",4,5))))+E144/(0.92*1000),VLOOKUP(D144,'Estratos SCX - ISA'!$O$4:$S$108,IF($D$130="A1",2,IF($D$130="A",3,IF($D$130="B",4,5))))+E144/(0.92*1000)))))))</f>
        <v/>
      </c>
      <c r="G144" s="59" t="str">
        <f t="shared" si="19"/>
        <v/>
      </c>
      <c r="H144" s="183"/>
      <c r="I144" s="183"/>
      <c r="J144" s="59" t="str">
        <f>IF(OR(H144="",$D$10="",$N$10=""),"",IF($D$10="COBRE",VLOOKUP(CDV_PROY_BT!H144,FDV!$B$16:$E$24,IF(CDV_PROY_BT!$N$10="3F",3,4),FALSE),IF($D$10="ACS",VLOOKUP(CDV_PROY_BT!H144,FDV!$B$10:$E$15,IF(CDV_PROY_BT!$N$10="3F",3,4),FALSE),IF($D$10="5005 (PREENSAMBLADO)",VLOOKUP(CDV_PROY_BT!H144,FDV!$B$4:$E$9,IF(CDV_PROY_BT!$N$10="3F",3,4),FALSE),VLOOKUP(CDV_PROY_BT!H144,FDV!$B$25:$E$30,IF(CDV_PROY_BT!$N$10="3F",3,4),FALSE)))))</f>
        <v/>
      </c>
      <c r="K144" s="63" t="str">
        <f t="shared" si="18"/>
        <v/>
      </c>
      <c r="L144" s="62" t="str">
        <f t="shared" si="20"/>
        <v/>
      </c>
      <c r="M144" s="62" t="str">
        <f t="shared" si="21"/>
        <v/>
      </c>
      <c r="N144" s="155"/>
      <c r="U144" s="138">
        <f t="shared" si="22"/>
        <v>0</v>
      </c>
      <c r="V144" s="138">
        <f t="shared" si="23"/>
        <v>0</v>
      </c>
    </row>
    <row r="145" spans="1:22" ht="15" hidden="1">
      <c r="A145" s="167"/>
      <c r="B145" s="168"/>
      <c r="C145" s="169"/>
      <c r="D145" s="169"/>
      <c r="E145" s="170"/>
      <c r="F145" s="58" t="str">
        <f>IF($N$126="","",IF($N$126="INDUSTRIAL",IF(OR($D$124="",$D$130=""),"",IF(OR(D145&gt;$D$131,E145&gt;$D$132),"Rev. Total. abona.",IF(D145="",IF(E145="","",E145/(0.92*1000)),IF(OR($D$124="SAN CRISTOBAL",$D$124="FLOREANA"),VLOOKUP(D145,'Estratos SCY - FLO'!$A$4:$M$108,IF($D$130="A1",2,IF($D$130="A",5,IF($D$130="B",8,11))))+E145/(0.92*1000),VLOOKUP(D145,'Estratos SCX - ISA'!$A$3:$M$107,IF($D$130="A1",2,IF($D$130="A",5,IF($D$130="B",8,11))))+E145/(0.92*1000))))),IF(OR($D$124="",$D$130=""),"",IF(OR(D145&gt;$D$131,E145&gt;$D$132),"Rev. Total. abona.",IF(D145="",IF(E145="","",E145/(0.92*1000)),IF(OR($D$124="SAN CRISTOBAL",$D$124="FLOREANA"),VLOOKUP(D145,'Estratos SCY - FLO'!$O$4:$S$108,IF($D$130="A1",2,IF($D$130="A",3,IF($D$130="B",4,5))))+E145/(0.92*1000),VLOOKUP(D145,'Estratos SCX - ISA'!$O$4:$S$108,IF($D$130="A1",2,IF($D$130="A",3,IF($D$130="B",4,5))))+E145/(0.92*1000)))))))</f>
        <v/>
      </c>
      <c r="G145" s="59" t="str">
        <f t="shared" si="19"/>
        <v/>
      </c>
      <c r="H145" s="183"/>
      <c r="I145" s="183"/>
      <c r="J145" s="59" t="str">
        <f>IF(OR(H145="",$D$10="",$N$10=""),"",IF($D$10="COBRE",VLOOKUP(CDV_PROY_BT!H145,FDV!$B$16:$E$24,IF(CDV_PROY_BT!$N$10="3F",3,4),FALSE),IF($D$10="ACS",VLOOKUP(CDV_PROY_BT!H145,FDV!$B$10:$E$15,IF(CDV_PROY_BT!$N$10="3F",3,4),FALSE),IF($D$10="5005 (PREENSAMBLADO)",VLOOKUP(CDV_PROY_BT!H145,FDV!$B$4:$E$9,IF(CDV_PROY_BT!$N$10="3F",3,4),FALSE),VLOOKUP(CDV_PROY_BT!H145,FDV!$B$25:$E$30,IF(CDV_PROY_BT!$N$10="3F",3,4),FALSE)))))</f>
        <v/>
      </c>
      <c r="K145" s="63" t="str">
        <f t="shared" si="18"/>
        <v/>
      </c>
      <c r="L145" s="62" t="str">
        <f t="shared" si="20"/>
        <v/>
      </c>
      <c r="M145" s="62" t="str">
        <f t="shared" si="21"/>
        <v/>
      </c>
      <c r="N145" s="155"/>
      <c r="U145" s="138">
        <f t="shared" si="22"/>
        <v>0</v>
      </c>
      <c r="V145" s="138">
        <f t="shared" si="23"/>
        <v>0</v>
      </c>
    </row>
    <row r="146" spans="1:22" ht="15" hidden="1">
      <c r="A146" s="167"/>
      <c r="B146" s="168"/>
      <c r="C146" s="169"/>
      <c r="D146" s="169"/>
      <c r="E146" s="170"/>
      <c r="F146" s="58" t="str">
        <f>IF($N$126="","",IF($N$126="INDUSTRIAL",IF(OR($D$124="",$D$130=""),"",IF(OR(D146&gt;$D$131,E146&gt;$D$132),"Rev. Total. abona.",IF(D146="",IF(E146="","",E146/(0.92*1000)),IF(OR($D$124="SAN CRISTOBAL",$D$124="FLOREANA"),VLOOKUP(D146,'Estratos SCY - FLO'!$A$4:$M$108,IF($D$130="A1",2,IF($D$130="A",5,IF($D$130="B",8,11))))+E146/(0.92*1000),VLOOKUP(D146,'Estratos SCX - ISA'!$A$3:$M$107,IF($D$130="A1",2,IF($D$130="A",5,IF($D$130="B",8,11))))+E146/(0.92*1000))))),IF(OR($D$124="",$D$130=""),"",IF(OR(D146&gt;$D$131,E146&gt;$D$132),"Rev. Total. abona.",IF(D146="",IF(E146="","",E146/(0.92*1000)),IF(OR($D$124="SAN CRISTOBAL",$D$124="FLOREANA"),VLOOKUP(D146,'Estratos SCY - FLO'!$O$4:$S$108,IF($D$130="A1",2,IF($D$130="A",3,IF($D$130="B",4,5))))+E146/(0.92*1000),VLOOKUP(D146,'Estratos SCX - ISA'!$O$4:$S$108,IF($D$130="A1",2,IF($D$130="A",3,IF($D$130="B",4,5))))+E146/(0.92*1000)))))))</f>
        <v/>
      </c>
      <c r="G146" s="59" t="str">
        <f t="shared" si="19"/>
        <v/>
      </c>
      <c r="H146" s="183"/>
      <c r="I146" s="183"/>
      <c r="J146" s="59" t="str">
        <f>IF(OR(H146="",$D$10="",$N$10=""),"",IF($D$10="COBRE",VLOOKUP(CDV_PROY_BT!H146,FDV!$B$16:$E$24,IF(CDV_PROY_BT!$N$10="3F",3,4),FALSE),IF($D$10="ACS",VLOOKUP(CDV_PROY_BT!H146,FDV!$B$10:$E$15,IF(CDV_PROY_BT!$N$10="3F",3,4),FALSE),IF($D$10="5005 (PREENSAMBLADO)",VLOOKUP(CDV_PROY_BT!H146,FDV!$B$4:$E$9,IF(CDV_PROY_BT!$N$10="3F",3,4),FALSE),VLOOKUP(CDV_PROY_BT!H146,FDV!$B$25:$E$30,IF(CDV_PROY_BT!$N$10="3F",3,4),FALSE)))))</f>
        <v/>
      </c>
      <c r="K146" s="63" t="str">
        <f t="shared" si="18"/>
        <v/>
      </c>
      <c r="L146" s="62" t="str">
        <f t="shared" si="20"/>
        <v/>
      </c>
      <c r="M146" s="62" t="str">
        <f t="shared" si="21"/>
        <v/>
      </c>
      <c r="N146" s="155"/>
      <c r="U146" s="138">
        <f t="shared" si="22"/>
        <v>0</v>
      </c>
      <c r="V146" s="138">
        <f t="shared" si="23"/>
        <v>0</v>
      </c>
    </row>
    <row r="147" spans="1:22" ht="15" hidden="1">
      <c r="A147" s="167"/>
      <c r="B147" s="168"/>
      <c r="C147" s="169"/>
      <c r="D147" s="169"/>
      <c r="E147" s="170"/>
      <c r="F147" s="58" t="str">
        <f>IF($N$126="","",IF($N$126="INDUSTRIAL",IF(OR($D$124="",$D$130=""),"",IF(OR(D147&gt;$D$131,E147&gt;$D$132),"Rev. Total. abona.",IF(D147="",IF(E147="","",E147/(0.92*1000)),IF(OR($D$124="SAN CRISTOBAL",$D$124="FLOREANA"),VLOOKUP(D147,'Estratos SCY - FLO'!$A$4:$M$108,IF($D$130="A1",2,IF($D$130="A",5,IF($D$130="B",8,11))))+E147/(0.92*1000),VLOOKUP(D147,'Estratos SCX - ISA'!$A$3:$M$107,IF($D$130="A1",2,IF($D$130="A",5,IF($D$130="B",8,11))))+E147/(0.92*1000))))),IF(OR($D$124="",$D$130=""),"",IF(OR(D147&gt;$D$131,E147&gt;$D$132),"Rev. Total. abona.",IF(D147="",IF(E147="","",E147/(0.92*1000)),IF(OR($D$124="SAN CRISTOBAL",$D$124="FLOREANA"),VLOOKUP(D147,'Estratos SCY - FLO'!$O$4:$S$108,IF($D$130="A1",2,IF($D$130="A",3,IF($D$130="B",4,5))))+E147/(0.92*1000),VLOOKUP(D147,'Estratos SCX - ISA'!$O$4:$S$108,IF($D$130="A1",2,IF($D$130="A",3,IF($D$130="B",4,5))))+E147/(0.92*1000)))))))</f>
        <v/>
      </c>
      <c r="G147" s="59" t="str">
        <f t="shared" si="19"/>
        <v/>
      </c>
      <c r="H147" s="183"/>
      <c r="I147" s="183"/>
      <c r="J147" s="59" t="str">
        <f>IF(OR(H147="",$D$10="",$N$10=""),"",IF($D$10="COBRE",VLOOKUP(CDV_PROY_BT!H147,FDV!$B$16:$E$24,IF(CDV_PROY_BT!$N$10="3F",3,4),FALSE),IF($D$10="ACS",VLOOKUP(CDV_PROY_BT!H147,FDV!$B$10:$E$15,IF(CDV_PROY_BT!$N$10="3F",3,4),FALSE),IF($D$10="5005 (PREENSAMBLADO)",VLOOKUP(CDV_PROY_BT!H147,FDV!$B$4:$E$9,IF(CDV_PROY_BT!$N$10="3F",3,4),FALSE),VLOOKUP(CDV_PROY_BT!H147,FDV!$B$25:$E$30,IF(CDV_PROY_BT!$N$10="3F",3,4),FALSE)))))</f>
        <v/>
      </c>
      <c r="K147" s="63" t="str">
        <f t="shared" si="18"/>
        <v/>
      </c>
      <c r="L147" s="62" t="str">
        <f t="shared" si="20"/>
        <v/>
      </c>
      <c r="M147" s="62" t="str">
        <f t="shared" si="21"/>
        <v/>
      </c>
      <c r="N147" s="155"/>
      <c r="U147" s="138">
        <f t="shared" si="22"/>
        <v>0</v>
      </c>
      <c r="V147" s="138">
        <f t="shared" si="23"/>
        <v>0</v>
      </c>
    </row>
    <row r="148" spans="1:22" ht="15" hidden="1">
      <c r="A148" s="167"/>
      <c r="B148" s="168"/>
      <c r="C148" s="169"/>
      <c r="D148" s="169"/>
      <c r="E148" s="170"/>
      <c r="F148" s="58" t="str">
        <f>IF($N$126="","",IF($N$126="INDUSTRIAL",IF(OR($D$124="",$D$130=""),"",IF(OR(D148&gt;$D$131,E148&gt;$D$132),"Rev. Total. abona.",IF(D148="",IF(E148="","",E148/(0.92*1000)),IF(OR($D$124="SAN CRISTOBAL",$D$124="FLOREANA"),VLOOKUP(D148,'Estratos SCY - FLO'!$A$4:$M$108,IF($D$130="A1",2,IF($D$130="A",5,IF($D$130="B",8,11))))+E148/(0.92*1000),VLOOKUP(D148,'Estratos SCX - ISA'!$A$3:$M$107,IF($D$130="A1",2,IF($D$130="A",5,IF($D$130="B",8,11))))+E148/(0.92*1000))))),IF(OR($D$124="",$D$130=""),"",IF(OR(D148&gt;$D$131,E148&gt;$D$132),"Rev. Total. abona.",IF(D148="",IF(E148="","",E148/(0.92*1000)),IF(OR($D$124="SAN CRISTOBAL",$D$124="FLOREANA"),VLOOKUP(D148,'Estratos SCY - FLO'!$O$4:$S$108,IF($D$130="A1",2,IF($D$130="A",3,IF($D$130="B",4,5))))+E148/(0.92*1000),VLOOKUP(D148,'Estratos SCX - ISA'!$O$4:$S$108,IF($D$130="A1",2,IF($D$130="A",3,IF($D$130="B",4,5))))+E148/(0.92*1000)))))))</f>
        <v/>
      </c>
      <c r="G148" s="59" t="str">
        <f t="shared" si="19"/>
        <v/>
      </c>
      <c r="H148" s="183"/>
      <c r="I148" s="183"/>
      <c r="J148" s="59" t="str">
        <f>IF(OR(H148="",$D$10="",$N$10=""),"",IF($D$10="COBRE",VLOOKUP(CDV_PROY_BT!H148,FDV!$B$16:$E$24,IF(CDV_PROY_BT!$N$10="3F",3,4),FALSE),IF($D$10="ACS",VLOOKUP(CDV_PROY_BT!H148,FDV!$B$10:$E$15,IF(CDV_PROY_BT!$N$10="3F",3,4),FALSE),IF($D$10="5005 (PREENSAMBLADO)",VLOOKUP(CDV_PROY_BT!H148,FDV!$B$4:$E$9,IF(CDV_PROY_BT!$N$10="3F",3,4),FALSE),VLOOKUP(CDV_PROY_BT!H148,FDV!$B$25:$E$30,IF(CDV_PROY_BT!$N$10="3F",3,4),FALSE)))))</f>
        <v/>
      </c>
      <c r="K148" s="63" t="str">
        <f t="shared" si="18"/>
        <v/>
      </c>
      <c r="L148" s="62" t="str">
        <f t="shared" si="20"/>
        <v/>
      </c>
      <c r="M148" s="62" t="str">
        <f t="shared" si="21"/>
        <v/>
      </c>
      <c r="N148" s="155"/>
      <c r="U148" s="138">
        <f t="shared" si="22"/>
        <v>0</v>
      </c>
      <c r="V148" s="138">
        <f t="shared" si="23"/>
        <v>0</v>
      </c>
    </row>
    <row r="149" spans="1:22" ht="15" hidden="1">
      <c r="A149" s="171"/>
      <c r="B149" s="172"/>
      <c r="C149" s="173"/>
      <c r="D149" s="173"/>
      <c r="E149" s="170"/>
      <c r="F149" s="58" t="str">
        <f>IF($N$126="","",IF($N$126="INDUSTRIAL",IF(OR($D$124="",$D$130=""),"",IF(OR(D149&gt;$D$131,E149&gt;$D$132),"Rev. Total. abona.",IF(D149="",IF(E149="","",E149/(0.92*1000)),IF(OR($D$124="SAN CRISTOBAL",$D$124="FLOREANA"),VLOOKUP(D149,'Estratos SCY - FLO'!$A$4:$M$108,IF($D$130="A1",2,IF($D$130="A",5,IF($D$130="B",8,11))))+E149/(0.92*1000),VLOOKUP(D149,'Estratos SCX - ISA'!$A$3:$M$107,IF($D$130="A1",2,IF($D$130="A",5,IF($D$130="B",8,11))))+E149/(0.92*1000))))),IF(OR($D$124="",$D$130=""),"",IF(OR(D149&gt;$D$131,E149&gt;$D$132),"Rev. Total. abona.",IF(D149="",IF(E149="","",E149/(0.92*1000)),IF(OR($D$124="SAN CRISTOBAL",$D$124="FLOREANA"),VLOOKUP(D149,'Estratos SCY - FLO'!$O$4:$S$108,IF($D$130="A1",2,IF($D$130="A",3,IF($D$130="B",4,5))))+E149/(0.92*1000),VLOOKUP(D149,'Estratos SCX - ISA'!$O$4:$S$108,IF($D$130="A1",2,IF($D$130="A",3,IF($D$130="B",4,5))))+E149/(0.92*1000)))))))</f>
        <v/>
      </c>
      <c r="G149" s="59" t="str">
        <f t="shared" si="19"/>
        <v/>
      </c>
      <c r="H149" s="183"/>
      <c r="I149" s="183"/>
      <c r="J149" s="59" t="str">
        <f>IF(OR(H149="",$D$10="",$N$10=""),"",IF($D$10="COBRE",VLOOKUP(CDV_PROY_BT!H149,FDV!$B$16:$E$24,IF(CDV_PROY_BT!$N$10="3F",3,4),FALSE),IF($D$10="ACS",VLOOKUP(CDV_PROY_BT!H149,FDV!$B$10:$E$15,IF(CDV_PROY_BT!$N$10="3F",3,4),FALSE),IF($D$10="5005 (PREENSAMBLADO)",VLOOKUP(CDV_PROY_BT!H149,FDV!$B$4:$E$9,IF(CDV_PROY_BT!$N$10="3F",3,4),FALSE),VLOOKUP(CDV_PROY_BT!H149,FDV!$B$25:$E$30,IF(CDV_PROY_BT!$N$10="3F",3,4),FALSE)))))</f>
        <v/>
      </c>
      <c r="K149" s="63" t="str">
        <f t="shared" si="18"/>
        <v/>
      </c>
      <c r="L149" s="62" t="str">
        <f t="shared" si="20"/>
        <v/>
      </c>
      <c r="M149" s="62" t="str">
        <f t="shared" si="21"/>
        <v/>
      </c>
      <c r="N149" s="155"/>
      <c r="U149" s="138">
        <f t="shared" si="22"/>
        <v>0</v>
      </c>
      <c r="V149" s="138">
        <f t="shared" si="23"/>
        <v>0</v>
      </c>
    </row>
    <row r="150" spans="1:22" ht="15" hidden="1">
      <c r="A150" s="167"/>
      <c r="B150" s="168"/>
      <c r="C150" s="169"/>
      <c r="D150" s="169"/>
      <c r="E150" s="174"/>
      <c r="F150" s="58" t="str">
        <f>IF($N$126="","",IF($N$126="INDUSTRIAL",IF(OR($D$124="",$D$130=""),"",IF(OR(D150&gt;$D$131,E150&gt;$D$132),"Rev. Total. abona.",IF(D150="",IF(E150="","",E150/(0.92*1000)),IF(OR($D$124="SAN CRISTOBAL",$D$124="FLOREANA"),VLOOKUP(D150,'Estratos SCY - FLO'!$A$4:$M$108,IF($D$130="A1",2,IF($D$130="A",5,IF($D$130="B",8,11))))+E150/(0.92*1000),VLOOKUP(D150,'Estratos SCX - ISA'!$A$3:$M$107,IF($D$130="A1",2,IF($D$130="A",5,IF($D$130="B",8,11))))+E150/(0.92*1000))))),IF(OR($D$124="",$D$130=""),"",IF(OR(D150&gt;$D$131,E150&gt;$D$132),"Rev. Total. abona.",IF(D150="",IF(E150="","",E150/(0.92*1000)),IF(OR($D$124="SAN CRISTOBAL",$D$124="FLOREANA"),VLOOKUP(D150,'Estratos SCY - FLO'!$O$4:$S$108,IF($D$130="A1",2,IF($D$130="A",3,IF($D$130="B",4,5))))+E150/(0.92*1000),VLOOKUP(D150,'Estratos SCX - ISA'!$O$4:$S$108,IF($D$130="A1",2,IF($D$130="A",3,IF($D$130="B",4,5))))+E150/(0.92*1000)))))))</f>
        <v/>
      </c>
      <c r="G150" s="59" t="str">
        <f t="shared" si="19"/>
        <v/>
      </c>
      <c r="H150" s="183"/>
      <c r="I150" s="183"/>
      <c r="J150" s="59" t="str">
        <f>IF(OR(H150="",$D$10="",$N$10=""),"",IF($D$10="COBRE",VLOOKUP(CDV_PROY_BT!H150,FDV!$B$16:$E$24,IF(CDV_PROY_BT!$N$10="3F",3,4),FALSE),IF($D$10="ACS",VLOOKUP(CDV_PROY_BT!H150,FDV!$B$10:$E$15,IF(CDV_PROY_BT!$N$10="3F",3,4),FALSE),IF($D$10="5005 (PREENSAMBLADO)",VLOOKUP(CDV_PROY_BT!H150,FDV!$B$4:$E$9,IF(CDV_PROY_BT!$N$10="3F",3,4),FALSE),VLOOKUP(CDV_PROY_BT!H150,FDV!$B$25:$E$30,IF(CDV_PROY_BT!$N$10="3F",3,4),FALSE)))))</f>
        <v/>
      </c>
      <c r="K150" s="63" t="str">
        <f t="shared" si="18"/>
        <v/>
      </c>
      <c r="L150" s="62" t="str">
        <f t="shared" si="20"/>
        <v/>
      </c>
      <c r="M150" s="62" t="str">
        <f t="shared" si="21"/>
        <v/>
      </c>
      <c r="N150" s="155"/>
      <c r="U150" s="138">
        <f t="shared" si="22"/>
        <v>0</v>
      </c>
      <c r="V150" s="138">
        <f t="shared" si="23"/>
        <v>0</v>
      </c>
    </row>
    <row r="151" spans="1:22" ht="15" hidden="1">
      <c r="A151" s="175"/>
      <c r="B151" s="176"/>
      <c r="C151" s="177"/>
      <c r="D151" s="177"/>
      <c r="E151" s="170"/>
      <c r="F151" s="58" t="str">
        <f>IF($N$126="","",IF($N$126="INDUSTRIAL",IF(OR($D$124="",$D$130=""),"",IF(OR(D151&gt;$D$131,E151&gt;$D$132),"Rev. Total. abona.",IF(D151="",IF(E151="","",E151/(0.92*1000)),IF(OR($D$124="SAN CRISTOBAL",$D$124="FLOREANA"),VLOOKUP(D151,'Estratos SCY - FLO'!$A$4:$M$108,IF($D$130="A1",2,IF($D$130="A",5,IF($D$130="B",8,11))))+E151/(0.92*1000),VLOOKUP(D151,'Estratos SCX - ISA'!$A$3:$M$107,IF($D$130="A1",2,IF($D$130="A",5,IF($D$130="B",8,11))))+E151/(0.92*1000))))),IF(OR($D$124="",$D$130=""),"",IF(OR(D151&gt;$D$131,E151&gt;$D$132),"Rev. Total. abona.",IF(D151="",IF(E151="","",E151/(0.92*1000)),IF(OR($D$124="SAN CRISTOBAL",$D$124="FLOREANA"),VLOOKUP(D151,'Estratos SCY - FLO'!$O$4:$S$108,IF($D$130="A1",2,IF($D$130="A",3,IF($D$130="B",4,5))))+E151/(0.92*1000),VLOOKUP(D151,'Estratos SCX - ISA'!$O$4:$S$108,IF($D$130="A1",2,IF($D$130="A",3,IF($D$130="B",4,5))))+E151/(0.92*1000)))))))</f>
        <v/>
      </c>
      <c r="G151" s="59" t="str">
        <f t="shared" si="19"/>
        <v/>
      </c>
      <c r="H151" s="183"/>
      <c r="I151" s="183"/>
      <c r="J151" s="59" t="str">
        <f>IF(OR(H151="",$D$10="",$N$10=""),"",IF($D$10="COBRE",VLOOKUP(CDV_PROY_BT!H151,FDV!$B$16:$E$24,IF(CDV_PROY_BT!$N$10="3F",3,4),FALSE),IF($D$10="ACS",VLOOKUP(CDV_PROY_BT!H151,FDV!$B$10:$E$15,IF(CDV_PROY_BT!$N$10="3F",3,4),FALSE),IF($D$10="5005 (PREENSAMBLADO)",VLOOKUP(CDV_PROY_BT!H151,FDV!$B$4:$E$9,IF(CDV_PROY_BT!$N$10="3F",3,4),FALSE),VLOOKUP(CDV_PROY_BT!H151,FDV!$B$25:$E$30,IF(CDV_PROY_BT!$N$10="3F",3,4),FALSE)))))</f>
        <v/>
      </c>
      <c r="K151" s="63" t="str">
        <f t="shared" si="18"/>
        <v/>
      </c>
      <c r="L151" s="62" t="str">
        <f t="shared" si="20"/>
        <v/>
      </c>
      <c r="M151" s="62" t="str">
        <f t="shared" si="21"/>
        <v/>
      </c>
      <c r="N151" s="155"/>
      <c r="U151" s="138">
        <f t="shared" si="22"/>
        <v>0</v>
      </c>
      <c r="V151" s="138">
        <f t="shared" si="23"/>
        <v>0</v>
      </c>
    </row>
    <row r="152" spans="1:22" ht="15" hidden="1">
      <c r="A152" s="167"/>
      <c r="B152" s="168"/>
      <c r="C152" s="169"/>
      <c r="D152" s="169"/>
      <c r="E152" s="170"/>
      <c r="F152" s="58" t="str">
        <f>IF($N$126="","",IF($N$126="INDUSTRIAL",IF(OR($D$124="",$D$130=""),"",IF(OR(D152&gt;$D$131,E152&gt;$D$132),"Rev. Total. abona.",IF(D152="",IF(E152="","",E152/(0.92*1000)),IF(OR($D$124="SAN CRISTOBAL",$D$124="FLOREANA"),VLOOKUP(D152,'Estratos SCY - FLO'!$A$4:$M$108,IF($D$130="A1",2,IF($D$130="A",5,IF($D$130="B",8,11))))+E152/(0.92*1000),VLOOKUP(D152,'Estratos SCX - ISA'!$A$3:$M$107,IF($D$130="A1",2,IF($D$130="A",5,IF($D$130="B",8,11))))+E152/(0.92*1000))))),IF(OR($D$124="",$D$130=""),"",IF(OR(D152&gt;$D$131,E152&gt;$D$132),"Rev. Total. abona.",IF(D152="",IF(E152="","",E152/(0.92*1000)),IF(OR($D$124="SAN CRISTOBAL",$D$124="FLOREANA"),VLOOKUP(D152,'Estratos SCY - FLO'!$O$4:$S$108,IF($D$130="A1",2,IF($D$130="A",3,IF($D$130="B",4,5))))+E152/(0.92*1000),VLOOKUP(D152,'Estratos SCX - ISA'!$O$4:$S$108,IF($D$130="A1",2,IF($D$130="A",3,IF($D$130="B",4,5))))+E152/(0.92*1000)))))))</f>
        <v/>
      </c>
      <c r="G152" s="59" t="str">
        <f t="shared" si="19"/>
        <v/>
      </c>
      <c r="H152" s="183"/>
      <c r="I152" s="183"/>
      <c r="J152" s="59" t="str">
        <f>IF(OR(H152="",$D$10="",$N$10=""),"",IF($D$10="COBRE",VLOOKUP(CDV_PROY_BT!H152,FDV!$B$16:$E$24,IF(CDV_PROY_BT!$N$10="3F",3,4),FALSE),IF($D$10="ACS",VLOOKUP(CDV_PROY_BT!H152,FDV!$B$10:$E$15,IF(CDV_PROY_BT!$N$10="3F",3,4),FALSE),IF($D$10="5005 (PREENSAMBLADO)",VLOOKUP(CDV_PROY_BT!H152,FDV!$B$4:$E$9,IF(CDV_PROY_BT!$N$10="3F",3,4),FALSE),VLOOKUP(CDV_PROY_BT!H152,FDV!$B$25:$E$30,IF(CDV_PROY_BT!$N$10="3F",3,4),FALSE)))))</f>
        <v/>
      </c>
      <c r="K152" s="63" t="str">
        <f t="shared" si="18"/>
        <v/>
      </c>
      <c r="L152" s="62" t="str">
        <f t="shared" si="20"/>
        <v/>
      </c>
      <c r="M152" s="62" t="str">
        <f t="shared" si="21"/>
        <v/>
      </c>
      <c r="N152" s="155"/>
      <c r="U152" s="138">
        <f t="shared" si="22"/>
        <v>0</v>
      </c>
      <c r="V152" s="138">
        <f t="shared" si="23"/>
        <v>0</v>
      </c>
    </row>
    <row r="153" spans="1:22" ht="15" hidden="1">
      <c r="A153" s="167"/>
      <c r="B153" s="168"/>
      <c r="C153" s="169"/>
      <c r="D153" s="169"/>
      <c r="E153" s="170"/>
      <c r="F153" s="58" t="str">
        <f>IF($N$126="","",IF($N$126="INDUSTRIAL",IF(OR($D$124="",$D$130=""),"",IF(OR(D153&gt;$D$131,E153&gt;$D$132),"Rev. Total. abona.",IF(D153="",IF(E153="","",E153/(0.92*1000)),IF(OR($D$124="SAN CRISTOBAL",$D$124="FLOREANA"),VLOOKUP(D153,'Estratos SCY - FLO'!$A$4:$M$108,IF($D$130="A1",2,IF($D$130="A",5,IF($D$130="B",8,11))))+E153/(0.92*1000),VLOOKUP(D153,'Estratos SCX - ISA'!$A$3:$M$107,IF($D$130="A1",2,IF($D$130="A",5,IF($D$130="B",8,11))))+E153/(0.92*1000))))),IF(OR($D$124="",$D$130=""),"",IF(OR(D153&gt;$D$131,E153&gt;$D$132),"Rev. Total. abona.",IF(D153="",IF(E153="","",E153/(0.92*1000)),IF(OR($D$124="SAN CRISTOBAL",$D$124="FLOREANA"),VLOOKUP(D153,'Estratos SCY - FLO'!$O$4:$S$108,IF($D$130="A1",2,IF($D$130="A",3,IF($D$130="B",4,5))))+E153/(0.92*1000),VLOOKUP(D153,'Estratos SCX - ISA'!$O$4:$S$108,IF($D$130="A1",2,IF($D$130="A",3,IF($D$130="B",4,5))))+E153/(0.92*1000)))))))</f>
        <v/>
      </c>
      <c r="G153" s="59" t="str">
        <f t="shared" si="19"/>
        <v/>
      </c>
      <c r="H153" s="183"/>
      <c r="I153" s="183"/>
      <c r="J153" s="59" t="str">
        <f>IF(OR(H153="",$D$10="",$N$10=""),"",IF($D$10="COBRE",VLOOKUP(CDV_PROY_BT!H153,FDV!$B$16:$E$24,IF(CDV_PROY_BT!$N$10="3F",3,4),FALSE),IF($D$10="ACS",VLOOKUP(CDV_PROY_BT!H153,FDV!$B$10:$E$15,IF(CDV_PROY_BT!$N$10="3F",3,4),FALSE),IF($D$10="5005 (PREENSAMBLADO)",VLOOKUP(CDV_PROY_BT!H153,FDV!$B$4:$E$9,IF(CDV_PROY_BT!$N$10="3F",3,4),FALSE),VLOOKUP(CDV_PROY_BT!H153,FDV!$B$25:$E$30,IF(CDV_PROY_BT!$N$10="3F",3,4),FALSE)))))</f>
        <v/>
      </c>
      <c r="K153" s="63" t="str">
        <f t="shared" si="18"/>
        <v/>
      </c>
      <c r="L153" s="62" t="str">
        <f t="shared" si="20"/>
        <v/>
      </c>
      <c r="M153" s="62" t="str">
        <f t="shared" si="21"/>
        <v/>
      </c>
      <c r="N153" s="155"/>
      <c r="U153" s="138">
        <f t="shared" si="22"/>
        <v>0</v>
      </c>
      <c r="V153" s="138">
        <f t="shared" si="23"/>
        <v>0</v>
      </c>
    </row>
    <row r="154" spans="1:22" ht="15" hidden="1">
      <c r="A154" s="167"/>
      <c r="B154" s="168"/>
      <c r="C154" s="169"/>
      <c r="D154" s="169"/>
      <c r="E154" s="170"/>
      <c r="F154" s="58" t="str">
        <f>IF($N$126="","",IF($N$126="INDUSTRIAL",IF(OR($D$124="",$D$130=""),"",IF(OR(D154&gt;$D$131,E154&gt;$D$132),"Rev. Total. abona.",IF(D154="",IF(E154="","",E154/(0.92*1000)),IF(OR($D$124="SAN CRISTOBAL",$D$124="FLOREANA"),VLOOKUP(D154,'Estratos SCY - FLO'!$A$4:$M$108,IF($D$130="A1",2,IF($D$130="A",5,IF($D$130="B",8,11))))+E154/(0.92*1000),VLOOKUP(D154,'Estratos SCX - ISA'!$A$3:$M$107,IF($D$130="A1",2,IF($D$130="A",5,IF($D$130="B",8,11))))+E154/(0.92*1000))))),IF(OR($D$124="",$D$130=""),"",IF(OR(D154&gt;$D$131,E154&gt;$D$132),"Rev. Total. abona.",IF(D154="",IF(E154="","",E154/(0.92*1000)),IF(OR($D$124="SAN CRISTOBAL",$D$124="FLOREANA"),VLOOKUP(D154,'Estratos SCY - FLO'!$O$4:$S$108,IF($D$130="A1",2,IF($D$130="A",3,IF($D$130="B",4,5))))+E154/(0.92*1000),VLOOKUP(D154,'Estratos SCX - ISA'!$O$4:$S$108,IF($D$130="A1",2,IF($D$130="A",3,IF($D$130="B",4,5))))+E154/(0.92*1000)))))))</f>
        <v/>
      </c>
      <c r="G154" s="59" t="str">
        <f t="shared" si="19"/>
        <v/>
      </c>
      <c r="H154" s="183"/>
      <c r="I154" s="183"/>
      <c r="J154" s="59" t="str">
        <f>IF(OR(H154="",$D$10="",$N$10=""),"",IF($D$10="COBRE",VLOOKUP(CDV_PROY_BT!H154,FDV!$B$16:$E$24,IF(CDV_PROY_BT!$N$10="3F",3,4),FALSE),IF($D$10="ACS",VLOOKUP(CDV_PROY_BT!H154,FDV!$B$10:$E$15,IF(CDV_PROY_BT!$N$10="3F",3,4),FALSE),IF($D$10="5005 (PREENSAMBLADO)",VLOOKUP(CDV_PROY_BT!H154,FDV!$B$4:$E$9,IF(CDV_PROY_BT!$N$10="3F",3,4),FALSE),VLOOKUP(CDV_PROY_BT!H154,FDV!$B$25:$E$30,IF(CDV_PROY_BT!$N$10="3F",3,4),FALSE)))))</f>
        <v/>
      </c>
      <c r="K154" s="63" t="str">
        <f t="shared" si="18"/>
        <v/>
      </c>
      <c r="L154" s="62" t="str">
        <f t="shared" si="20"/>
        <v/>
      </c>
      <c r="M154" s="62" t="str">
        <f t="shared" si="21"/>
        <v/>
      </c>
      <c r="N154" s="155"/>
      <c r="U154" s="138">
        <f t="shared" si="22"/>
        <v>0</v>
      </c>
      <c r="V154" s="138">
        <f t="shared" si="23"/>
        <v>0</v>
      </c>
    </row>
    <row r="155" spans="1:22" ht="15" hidden="1">
      <c r="A155" s="167"/>
      <c r="B155" s="168"/>
      <c r="C155" s="169"/>
      <c r="D155" s="169"/>
      <c r="E155" s="170"/>
      <c r="F155" s="58" t="str">
        <f>IF($N$126="","",IF($N$126="INDUSTRIAL",IF(OR($D$124="",$D$130=""),"",IF(OR(D155&gt;$D$131,E155&gt;$D$132),"Rev. Total. abona.",IF(D155="",IF(E155="","",E155/(0.92*1000)),IF(OR($D$124="SAN CRISTOBAL",$D$124="FLOREANA"),VLOOKUP(D155,'Estratos SCY - FLO'!$A$4:$M$108,IF($D$130="A1",2,IF($D$130="A",5,IF($D$130="B",8,11))))+E155/(0.92*1000),VLOOKUP(D155,'Estratos SCX - ISA'!$A$3:$M$107,IF($D$130="A1",2,IF($D$130="A",5,IF($D$130="B",8,11))))+E155/(0.92*1000))))),IF(OR($D$124="",$D$130=""),"",IF(OR(D155&gt;$D$131,E155&gt;$D$132),"Rev. Total. abona.",IF(D155="",IF(E155="","",E155/(0.92*1000)),IF(OR($D$124="SAN CRISTOBAL",$D$124="FLOREANA"),VLOOKUP(D155,'Estratos SCY - FLO'!$O$4:$S$108,IF($D$130="A1",2,IF($D$130="A",3,IF($D$130="B",4,5))))+E155/(0.92*1000),VLOOKUP(D155,'Estratos SCX - ISA'!$O$4:$S$108,IF($D$130="A1",2,IF($D$130="A",3,IF($D$130="B",4,5))))+E155/(0.92*1000)))))))</f>
        <v/>
      </c>
      <c r="G155" s="59" t="str">
        <f t="shared" si="19"/>
        <v/>
      </c>
      <c r="H155" s="183"/>
      <c r="I155" s="183"/>
      <c r="J155" s="59" t="str">
        <f>IF(OR(H155="",$D$10="",$N$10=""),"",IF($D$10="COBRE",VLOOKUP(CDV_PROY_BT!H155,FDV!$B$16:$E$24,IF(CDV_PROY_BT!$N$10="3F",3,4),FALSE),IF($D$10="ACS",VLOOKUP(CDV_PROY_BT!H155,FDV!$B$10:$E$15,IF(CDV_PROY_BT!$N$10="3F",3,4),FALSE),IF($D$10="5005 (PREENSAMBLADO)",VLOOKUP(CDV_PROY_BT!H155,FDV!$B$4:$E$9,IF(CDV_PROY_BT!$N$10="3F",3,4),FALSE),VLOOKUP(CDV_PROY_BT!H155,FDV!$B$25:$E$30,IF(CDV_PROY_BT!$N$10="3F",3,4),FALSE)))))</f>
        <v/>
      </c>
      <c r="K155" s="63" t="str">
        <f t="shared" si="18"/>
        <v/>
      </c>
      <c r="L155" s="62" t="str">
        <f t="shared" si="20"/>
        <v/>
      </c>
      <c r="M155" s="62" t="str">
        <f t="shared" si="21"/>
        <v/>
      </c>
      <c r="N155" s="155"/>
      <c r="U155" s="138">
        <f t="shared" si="22"/>
        <v>0</v>
      </c>
      <c r="V155" s="138">
        <f t="shared" si="23"/>
        <v>0</v>
      </c>
    </row>
    <row r="156" spans="1:22" ht="15" hidden="1">
      <c r="A156" s="167"/>
      <c r="B156" s="168"/>
      <c r="C156" s="169"/>
      <c r="D156" s="169"/>
      <c r="E156" s="170"/>
      <c r="F156" s="58" t="str">
        <f>IF($N$126="","",IF($N$126="INDUSTRIAL",IF(OR($D$124="",$D$130=""),"",IF(OR(D156&gt;$D$131,E156&gt;$D$132),"Rev. Total. abona.",IF(D156="",IF(E156="","",E156/(0.92*1000)),IF(OR($D$124="SAN CRISTOBAL",$D$124="FLOREANA"),VLOOKUP(D156,'Estratos SCY - FLO'!$A$4:$M$108,IF($D$130="A1",2,IF($D$130="A",5,IF($D$130="B",8,11))))+E156/(0.92*1000),VLOOKUP(D156,'Estratos SCX - ISA'!$A$3:$M$107,IF($D$130="A1",2,IF($D$130="A",5,IF($D$130="B",8,11))))+E156/(0.92*1000))))),IF(OR($D$124="",$D$130=""),"",IF(OR(D156&gt;$D$131,E156&gt;$D$132),"Rev. Total. abona.",IF(D156="",IF(E156="","",E156/(0.92*1000)),IF(OR($D$124="SAN CRISTOBAL",$D$124="FLOREANA"),VLOOKUP(D156,'Estratos SCY - FLO'!$O$4:$S$108,IF($D$130="A1",2,IF($D$130="A",3,IF($D$130="B",4,5))))+E156/(0.92*1000),VLOOKUP(D156,'Estratos SCX - ISA'!$O$4:$S$108,IF($D$130="A1",2,IF($D$130="A",3,IF($D$130="B",4,5))))+E156/(0.92*1000)))))))</f>
        <v/>
      </c>
      <c r="G156" s="59" t="str">
        <f t="shared" si="19"/>
        <v/>
      </c>
      <c r="H156" s="183"/>
      <c r="I156" s="183"/>
      <c r="J156" s="59" t="str">
        <f>IF(OR(H156="",$D$10="",$N$10=""),"",IF($D$10="COBRE",VLOOKUP(CDV_PROY_BT!H156,FDV!$B$16:$E$24,IF(CDV_PROY_BT!$N$10="3F",3,4),FALSE),IF($D$10="ACS",VLOOKUP(CDV_PROY_BT!H156,FDV!$B$10:$E$15,IF(CDV_PROY_BT!$N$10="3F",3,4),FALSE),IF($D$10="5005 (PREENSAMBLADO)",VLOOKUP(CDV_PROY_BT!H156,FDV!$B$4:$E$9,IF(CDV_PROY_BT!$N$10="3F",3,4),FALSE),VLOOKUP(CDV_PROY_BT!H156,FDV!$B$25:$E$30,IF(CDV_PROY_BT!$N$10="3F",3,4),FALSE)))))</f>
        <v/>
      </c>
      <c r="K156" s="63" t="str">
        <f t="shared" si="18"/>
        <v/>
      </c>
      <c r="L156" s="62" t="str">
        <f t="shared" si="20"/>
        <v/>
      </c>
      <c r="M156" s="62" t="str">
        <f t="shared" si="21"/>
        <v/>
      </c>
      <c r="N156" s="155"/>
      <c r="U156" s="138">
        <f t="shared" si="22"/>
        <v>0</v>
      </c>
      <c r="V156" s="138">
        <f t="shared" si="23"/>
        <v>0</v>
      </c>
    </row>
    <row r="157" spans="1:22" ht="15" hidden="1">
      <c r="A157" s="167"/>
      <c r="B157" s="168"/>
      <c r="C157" s="169"/>
      <c r="D157" s="169"/>
      <c r="E157" s="170"/>
      <c r="F157" s="58" t="str">
        <f>IF($N$126="","",IF($N$126="INDUSTRIAL",IF(OR($D$124="",$D$130=""),"",IF(OR(D157&gt;$D$131,E157&gt;$D$132),"Rev. Total. abona.",IF(D157="",IF(E157="","",E157/(0.92*1000)),IF(OR($D$124="SAN CRISTOBAL",$D$124="FLOREANA"),VLOOKUP(D157,'Estratos SCY - FLO'!$A$4:$M$108,IF($D$130="A1",2,IF($D$130="A",5,IF($D$130="B",8,11))))+E157/(0.92*1000),VLOOKUP(D157,'Estratos SCX - ISA'!$A$3:$M$107,IF($D$130="A1",2,IF($D$130="A",5,IF($D$130="B",8,11))))+E157/(0.92*1000))))),IF(OR($D$124="",$D$130=""),"",IF(OR(D157&gt;$D$131,E157&gt;$D$132),"Rev. Total. abona.",IF(D157="",IF(E157="","",E157/(0.92*1000)),IF(OR($D$124="SAN CRISTOBAL",$D$124="FLOREANA"),VLOOKUP(D157,'Estratos SCY - FLO'!$O$4:$S$108,IF($D$130="A1",2,IF($D$130="A",3,IF($D$130="B",4,5))))+E157/(0.92*1000),VLOOKUP(D157,'Estratos SCX - ISA'!$O$4:$S$108,IF($D$130="A1",2,IF($D$130="A",3,IF($D$130="B",4,5))))+E157/(0.92*1000)))))))</f>
        <v/>
      </c>
      <c r="G157" s="59" t="str">
        <f t="shared" si="19"/>
        <v/>
      </c>
      <c r="H157" s="183"/>
      <c r="I157" s="183"/>
      <c r="J157" s="59" t="str">
        <f>IF(OR(H157="",$D$10="",$N$10=""),"",IF($D$10="COBRE",VLOOKUP(CDV_PROY_BT!H157,FDV!$B$16:$E$24,IF(CDV_PROY_BT!$N$10="3F",3,4),FALSE),IF($D$10="ACS",VLOOKUP(CDV_PROY_BT!H157,FDV!$B$10:$E$15,IF(CDV_PROY_BT!$N$10="3F",3,4),FALSE),IF($D$10="5005 (PREENSAMBLADO)",VLOOKUP(CDV_PROY_BT!H157,FDV!$B$4:$E$9,IF(CDV_PROY_BT!$N$10="3F",3,4),FALSE),VLOOKUP(CDV_PROY_BT!H157,FDV!$B$25:$E$30,IF(CDV_PROY_BT!$N$10="3F",3,4),FALSE)))))</f>
        <v/>
      </c>
      <c r="K157" s="63" t="str">
        <f t="shared" si="18"/>
        <v/>
      </c>
      <c r="L157" s="62" t="str">
        <f t="shared" si="20"/>
        <v/>
      </c>
      <c r="M157" s="62" t="str">
        <f t="shared" si="21"/>
        <v/>
      </c>
      <c r="N157" s="155"/>
      <c r="U157" s="138">
        <f t="shared" si="22"/>
        <v>0</v>
      </c>
      <c r="V157" s="138">
        <f t="shared" si="23"/>
        <v>0</v>
      </c>
    </row>
    <row r="158" spans="1:22" ht="15" hidden="1">
      <c r="A158" s="167"/>
      <c r="B158" s="168"/>
      <c r="C158" s="169"/>
      <c r="D158" s="169"/>
      <c r="E158" s="170"/>
      <c r="F158" s="58" t="str">
        <f>IF($N$126="","",IF($N$126="INDUSTRIAL",IF(OR($D$124="",$D$130=""),"",IF(OR(D158&gt;$D$131,E158&gt;$D$132),"Rev. Total. abona.",IF(D158="",IF(E158="","",E158/(0.92*1000)),IF(OR($D$124="SAN CRISTOBAL",$D$124="FLOREANA"),VLOOKUP(D158,'Estratos SCY - FLO'!$A$4:$M$108,IF($D$130="A1",2,IF($D$130="A",5,IF($D$130="B",8,11))))+E158/(0.92*1000),VLOOKUP(D158,'Estratos SCX - ISA'!$A$3:$M$107,IF($D$130="A1",2,IF($D$130="A",5,IF($D$130="B",8,11))))+E158/(0.92*1000))))),IF(OR($D$124="",$D$130=""),"",IF(OR(D158&gt;$D$131,E158&gt;$D$132),"Rev. Total. abona.",IF(D158="",IF(E158="","",E158/(0.92*1000)),IF(OR($D$124="SAN CRISTOBAL",$D$124="FLOREANA"),VLOOKUP(D158,'Estratos SCY - FLO'!$O$4:$S$108,IF($D$130="A1",2,IF($D$130="A",3,IF($D$130="B",4,5))))+E158/(0.92*1000),VLOOKUP(D158,'Estratos SCX - ISA'!$O$4:$S$108,IF($D$130="A1",2,IF($D$130="A",3,IF($D$130="B",4,5))))+E158/(0.92*1000)))))))</f>
        <v/>
      </c>
      <c r="G158" s="59" t="str">
        <f t="shared" si="19"/>
        <v/>
      </c>
      <c r="H158" s="183"/>
      <c r="I158" s="183"/>
      <c r="J158" s="59" t="str">
        <f>IF(OR(H158="",$D$10="",$N$10=""),"",IF($D$10="COBRE",VLOOKUP(CDV_PROY_BT!H158,FDV!$B$16:$E$24,IF(CDV_PROY_BT!$N$10="3F",3,4),FALSE),IF($D$10="ACS",VLOOKUP(CDV_PROY_BT!H158,FDV!$B$10:$E$15,IF(CDV_PROY_BT!$N$10="3F",3,4),FALSE),IF($D$10="5005 (PREENSAMBLADO)",VLOOKUP(CDV_PROY_BT!H158,FDV!$B$4:$E$9,IF(CDV_PROY_BT!$N$10="3F",3,4),FALSE),VLOOKUP(CDV_PROY_BT!H158,FDV!$B$25:$E$30,IF(CDV_PROY_BT!$N$10="3F",3,4),FALSE)))))</f>
        <v/>
      </c>
      <c r="K158" s="63" t="str">
        <f t="shared" si="18"/>
        <v/>
      </c>
      <c r="L158" s="62" t="str">
        <f t="shared" si="20"/>
        <v/>
      </c>
      <c r="M158" s="62" t="str">
        <f t="shared" si="21"/>
        <v/>
      </c>
      <c r="N158" s="155"/>
      <c r="U158" s="138">
        <f t="shared" si="22"/>
        <v>0</v>
      </c>
      <c r="V158" s="138">
        <f t="shared" si="23"/>
        <v>0</v>
      </c>
    </row>
    <row r="159" spans="1:22" ht="15" hidden="1">
      <c r="A159" s="167"/>
      <c r="B159" s="168"/>
      <c r="C159" s="169"/>
      <c r="D159" s="169"/>
      <c r="E159" s="170"/>
      <c r="F159" s="58" t="str">
        <f>IF($N$126="","",IF($N$126="INDUSTRIAL",IF(OR($D$124="",$D$130=""),"",IF(OR(D159&gt;$D$131,E159&gt;$D$132),"Rev. Total. abona.",IF(D159="",IF(E159="","",E159/(0.92*1000)),IF(OR($D$124="SAN CRISTOBAL",$D$124="FLOREANA"),VLOOKUP(D159,'Estratos SCY - FLO'!$A$4:$M$108,IF($D$130="A1",2,IF($D$130="A",5,IF($D$130="B",8,11))))+E159/(0.92*1000),VLOOKUP(D159,'Estratos SCX - ISA'!$A$3:$M$107,IF($D$130="A1",2,IF($D$130="A",5,IF($D$130="B",8,11))))+E159/(0.92*1000))))),IF(OR($D$124="",$D$130=""),"",IF(OR(D159&gt;$D$131,E159&gt;$D$132),"Rev. Total. abona.",IF(D159="",IF(E159="","",E159/(0.92*1000)),IF(OR($D$124="SAN CRISTOBAL",$D$124="FLOREANA"),VLOOKUP(D159,'Estratos SCY - FLO'!$O$4:$S$108,IF($D$130="A1",2,IF($D$130="A",3,IF($D$130="B",4,5))))+E159/(0.92*1000),VLOOKUP(D159,'Estratos SCX - ISA'!$O$4:$S$108,IF($D$130="A1",2,IF($D$130="A",3,IF($D$130="B",4,5))))+E159/(0.92*1000)))))))</f>
        <v/>
      </c>
      <c r="G159" s="59" t="str">
        <f t="shared" si="19"/>
        <v/>
      </c>
      <c r="H159" s="183"/>
      <c r="I159" s="183"/>
      <c r="J159" s="59" t="str">
        <f>IF(OR(H159="",$D$10="",$N$10=""),"",IF($D$10="COBRE",VLOOKUP(CDV_PROY_BT!H159,FDV!$B$16:$E$24,IF(CDV_PROY_BT!$N$10="3F",3,4),FALSE),IF($D$10="ACS",VLOOKUP(CDV_PROY_BT!H159,FDV!$B$10:$E$15,IF(CDV_PROY_BT!$N$10="3F",3,4),FALSE),IF($D$10="5005 (PREENSAMBLADO)",VLOOKUP(CDV_PROY_BT!H159,FDV!$B$4:$E$9,IF(CDV_PROY_BT!$N$10="3F",3,4),FALSE),VLOOKUP(CDV_PROY_BT!H159,FDV!$B$25:$E$30,IF(CDV_PROY_BT!$N$10="3F",3,4),FALSE)))))</f>
        <v/>
      </c>
      <c r="K159" s="63" t="str">
        <f t="shared" si="18"/>
        <v/>
      </c>
      <c r="L159" s="62" t="str">
        <f t="shared" si="20"/>
        <v/>
      </c>
      <c r="M159" s="62" t="str">
        <f t="shared" si="21"/>
        <v/>
      </c>
      <c r="N159" s="155"/>
      <c r="U159" s="138">
        <f t="shared" si="22"/>
        <v>0</v>
      </c>
      <c r="V159" s="138">
        <f t="shared" si="23"/>
        <v>0</v>
      </c>
    </row>
    <row r="160" spans="1:22" ht="15" hidden="1">
      <c r="A160" s="167"/>
      <c r="B160" s="168"/>
      <c r="C160" s="169"/>
      <c r="D160" s="169"/>
      <c r="E160" s="170"/>
      <c r="F160" s="58" t="str">
        <f>IF($N$126="","",IF($N$126="INDUSTRIAL",IF(OR($D$124="",$D$130=""),"",IF(OR(D160&gt;$D$131,E160&gt;$D$132),"Rev. Total. abona.",IF(D160="",IF(E160="","",E160/(0.92*1000)),IF(OR($D$124="SAN CRISTOBAL",$D$124="FLOREANA"),VLOOKUP(D160,'Estratos SCY - FLO'!$A$4:$M$108,IF($D$130="A1",2,IF($D$130="A",5,IF($D$130="B",8,11))))+E160/(0.92*1000),VLOOKUP(D160,'Estratos SCX - ISA'!$A$3:$M$107,IF($D$130="A1",2,IF($D$130="A",5,IF($D$130="B",8,11))))+E160/(0.92*1000))))),IF(OR($D$124="",$D$130=""),"",IF(OR(D160&gt;$D$131,E160&gt;$D$132),"Rev. Total. abona.",IF(D160="",IF(E160="","",E160/(0.92*1000)),IF(OR($D$124="SAN CRISTOBAL",$D$124="FLOREANA"),VLOOKUP(D160,'Estratos SCY - FLO'!$O$4:$S$108,IF($D$130="A1",2,IF($D$130="A",3,IF($D$130="B",4,5))))+E160/(0.92*1000),VLOOKUP(D160,'Estratos SCX - ISA'!$O$4:$S$108,IF($D$130="A1",2,IF($D$130="A",3,IF($D$130="B",4,5))))+E160/(0.92*1000)))))))</f>
        <v/>
      </c>
      <c r="G160" s="59" t="str">
        <f t="shared" si="19"/>
        <v/>
      </c>
      <c r="H160" s="183"/>
      <c r="I160" s="183"/>
      <c r="J160" s="59" t="str">
        <f>IF(OR(H160="",$D$10="",$N$10=""),"",IF($D$10="COBRE",VLOOKUP(CDV_PROY_BT!H160,FDV!$B$16:$E$24,IF(CDV_PROY_BT!$N$10="3F",3,4),FALSE),IF($D$10="ACS",VLOOKUP(CDV_PROY_BT!H160,FDV!$B$10:$E$15,IF(CDV_PROY_BT!$N$10="3F",3,4),FALSE),IF($D$10="5005 (PREENSAMBLADO)",VLOOKUP(CDV_PROY_BT!H160,FDV!$B$4:$E$9,IF(CDV_PROY_BT!$N$10="3F",3,4),FALSE),VLOOKUP(CDV_PROY_BT!H160,FDV!$B$25:$E$30,IF(CDV_PROY_BT!$N$10="3F",3,4),FALSE)))))</f>
        <v/>
      </c>
      <c r="K160" s="63" t="str">
        <f t="shared" si="18"/>
        <v/>
      </c>
      <c r="L160" s="62" t="str">
        <f t="shared" si="20"/>
        <v/>
      </c>
      <c r="M160" s="62" t="str">
        <f t="shared" si="21"/>
        <v/>
      </c>
      <c r="N160" s="155"/>
      <c r="U160" s="138">
        <f t="shared" si="22"/>
        <v>0</v>
      </c>
      <c r="V160" s="138">
        <f t="shared" si="23"/>
        <v>0</v>
      </c>
    </row>
    <row r="161" spans="1:22" ht="15" hidden="1">
      <c r="A161" s="167"/>
      <c r="B161" s="168"/>
      <c r="C161" s="169"/>
      <c r="D161" s="169"/>
      <c r="E161" s="170"/>
      <c r="F161" s="58" t="str">
        <f>IF($N$126="","",IF($N$126="INDUSTRIAL",IF(OR($D$124="",$D$130=""),"",IF(OR(D161&gt;$D$131,E161&gt;$D$132),"Rev. Total. abona.",IF(D161="",IF(E161="","",E161/(0.92*1000)),IF(OR($D$124="SAN CRISTOBAL",$D$124="FLOREANA"),VLOOKUP(D161,'Estratos SCY - FLO'!$A$4:$M$108,IF($D$130="A1",2,IF($D$130="A",5,IF($D$130="B",8,11))))+E161/(0.92*1000),VLOOKUP(D161,'Estratos SCX - ISA'!$A$3:$M$107,IF($D$130="A1",2,IF($D$130="A",5,IF($D$130="B",8,11))))+E161/(0.92*1000))))),IF(OR($D$124="",$D$130=""),"",IF(OR(D161&gt;$D$131,E161&gt;$D$132),"Rev. Total. abona.",IF(D161="",IF(E161="","",E161/(0.92*1000)),IF(OR($D$124="SAN CRISTOBAL",$D$124="FLOREANA"),VLOOKUP(D161,'Estratos SCY - FLO'!$O$4:$S$108,IF($D$130="A1",2,IF($D$130="A",3,IF($D$130="B",4,5))))+E161/(0.92*1000),VLOOKUP(D161,'Estratos SCX - ISA'!$O$4:$S$108,IF($D$130="A1",2,IF($D$130="A",3,IF($D$130="B",4,5))))+E161/(0.92*1000)))))))</f>
        <v/>
      </c>
      <c r="G161" s="59" t="str">
        <f t="shared" si="19"/>
        <v/>
      </c>
      <c r="H161" s="183"/>
      <c r="I161" s="183"/>
      <c r="J161" s="59" t="str">
        <f>IF(OR(H161="",$D$10="",$N$10=""),"",IF($D$10="COBRE",VLOOKUP(CDV_PROY_BT!H161,FDV!$B$16:$E$24,IF(CDV_PROY_BT!$N$10="3F",3,4),FALSE),IF($D$10="ACS",VLOOKUP(CDV_PROY_BT!H161,FDV!$B$10:$E$15,IF(CDV_PROY_BT!$N$10="3F",3,4),FALSE),IF($D$10="5005 (PREENSAMBLADO)",VLOOKUP(CDV_PROY_BT!H161,FDV!$B$4:$E$9,IF(CDV_PROY_BT!$N$10="3F",3,4),FALSE),VLOOKUP(CDV_PROY_BT!H161,FDV!$B$25:$E$30,IF(CDV_PROY_BT!$N$10="3F",3,4),FALSE)))))</f>
        <v/>
      </c>
      <c r="K161" s="63" t="str">
        <f t="shared" si="18"/>
        <v/>
      </c>
      <c r="L161" s="62" t="str">
        <f t="shared" si="20"/>
        <v/>
      </c>
      <c r="M161" s="62" t="str">
        <f t="shared" si="21"/>
        <v/>
      </c>
      <c r="N161" s="155"/>
      <c r="U161" s="138">
        <f t="shared" si="22"/>
        <v>0</v>
      </c>
      <c r="V161" s="138">
        <f t="shared" si="23"/>
        <v>0</v>
      </c>
    </row>
    <row r="162" spans="1:22" ht="15" hidden="1">
      <c r="A162" s="167"/>
      <c r="B162" s="168"/>
      <c r="C162" s="169"/>
      <c r="D162" s="169"/>
      <c r="E162" s="170"/>
      <c r="F162" s="58" t="str">
        <f>IF($N$126="","",IF($N$126="INDUSTRIAL",IF(OR($D$124="",$D$130=""),"",IF(OR(D162&gt;$D$131,E162&gt;$D$132),"Rev. Total. abona.",IF(D162="",IF(E162="","",E162/(0.92*1000)),IF(OR($D$124="SAN CRISTOBAL",$D$124="FLOREANA"),VLOOKUP(D162,'Estratos SCY - FLO'!$A$4:$M$108,IF($D$130="A1",2,IF($D$130="A",5,IF($D$130="B",8,11))))+E162/(0.92*1000),VLOOKUP(D162,'Estratos SCX - ISA'!$A$3:$M$107,IF($D$130="A1",2,IF($D$130="A",5,IF($D$130="B",8,11))))+E162/(0.92*1000))))),IF(OR($D$124="",$D$130=""),"",IF(OR(D162&gt;$D$131,E162&gt;$D$132),"Rev. Total. abona.",IF(D162="",IF(E162="","",E162/(0.92*1000)),IF(OR($D$124="SAN CRISTOBAL",$D$124="FLOREANA"),VLOOKUP(D162,'Estratos SCY - FLO'!$O$4:$S$108,IF($D$130="A1",2,IF($D$130="A",3,IF($D$130="B",4,5))))+E162/(0.92*1000),VLOOKUP(D162,'Estratos SCX - ISA'!$O$4:$S$108,IF($D$130="A1",2,IF($D$130="A",3,IF($D$130="B",4,5))))+E162/(0.92*1000)))))))</f>
        <v/>
      </c>
      <c r="G162" s="59" t="str">
        <f t="shared" si="19"/>
        <v/>
      </c>
      <c r="H162" s="183"/>
      <c r="I162" s="183"/>
      <c r="J162" s="59" t="str">
        <f>IF(OR(H162="",$D$10="",$N$10=""),"",IF($D$10="COBRE",VLOOKUP(CDV_PROY_BT!H162,FDV!$B$16:$E$24,IF(CDV_PROY_BT!$N$10="3F",3,4),FALSE),IF($D$10="ACS",VLOOKUP(CDV_PROY_BT!H162,FDV!$B$10:$E$15,IF(CDV_PROY_BT!$N$10="3F",3,4),FALSE),IF($D$10="5005 (PREENSAMBLADO)",VLOOKUP(CDV_PROY_BT!H162,FDV!$B$4:$E$9,IF(CDV_PROY_BT!$N$10="3F",3,4),FALSE),VLOOKUP(CDV_PROY_BT!H162,FDV!$B$25:$E$30,IF(CDV_PROY_BT!$N$10="3F",3,4),FALSE)))))</f>
        <v/>
      </c>
      <c r="K162" s="63" t="str">
        <f t="shared" si="18"/>
        <v/>
      </c>
      <c r="L162" s="62" t="str">
        <f t="shared" si="20"/>
        <v/>
      </c>
      <c r="M162" s="62" t="str">
        <f t="shared" si="21"/>
        <v/>
      </c>
      <c r="N162" s="155"/>
      <c r="U162" s="138">
        <f t="shared" si="22"/>
        <v>0</v>
      </c>
      <c r="V162" s="138">
        <f t="shared" si="23"/>
        <v>0</v>
      </c>
    </row>
    <row r="163" spans="1:22" ht="15" hidden="1">
      <c r="A163" s="167"/>
      <c r="B163" s="168"/>
      <c r="C163" s="169"/>
      <c r="D163" s="169"/>
      <c r="E163" s="170"/>
      <c r="F163" s="58" t="str">
        <f>IF($N$126="","",IF($N$126="INDUSTRIAL",IF(OR($D$124="",$D$130=""),"",IF(OR(D163&gt;$D$131,E163&gt;$D$132),"Rev. Total. abona.",IF(D163="",IF(E163="","",E163/(0.92*1000)),IF(OR($D$124="SAN CRISTOBAL",$D$124="FLOREANA"),VLOOKUP(D163,'Estratos SCY - FLO'!$A$4:$M$108,IF($D$130="A1",2,IF($D$130="A",5,IF($D$130="B",8,11))))+E163/(0.92*1000),VLOOKUP(D163,'Estratos SCX - ISA'!$A$3:$M$107,IF($D$130="A1",2,IF($D$130="A",5,IF($D$130="B",8,11))))+E163/(0.92*1000))))),IF(OR($D$124="",$D$130=""),"",IF(OR(D163&gt;$D$131,E163&gt;$D$132),"Rev. Total. abona.",IF(D163="",IF(E163="","",E163/(0.92*1000)),IF(OR($D$124="SAN CRISTOBAL",$D$124="FLOREANA"),VLOOKUP(D163,'Estratos SCY - FLO'!$O$4:$S$108,IF($D$130="A1",2,IF($D$130="A",3,IF($D$130="B",4,5))))+E163/(0.92*1000),VLOOKUP(D163,'Estratos SCX - ISA'!$O$4:$S$108,IF($D$130="A1",2,IF($D$130="A",3,IF($D$130="B",4,5))))+E163/(0.92*1000)))))))</f>
        <v/>
      </c>
      <c r="G163" s="59" t="str">
        <f t="shared" si="19"/>
        <v/>
      </c>
      <c r="H163" s="183"/>
      <c r="I163" s="183"/>
      <c r="J163" s="59" t="str">
        <f>IF(OR(H163="",$D$10="",$N$10=""),"",IF($D$10="COBRE",VLOOKUP(CDV_PROY_BT!H163,FDV!$B$16:$E$24,IF(CDV_PROY_BT!$N$10="3F",3,4),FALSE),IF($D$10="ACS",VLOOKUP(CDV_PROY_BT!H163,FDV!$B$10:$E$15,IF(CDV_PROY_BT!$N$10="3F",3,4),FALSE),IF($D$10="5005 (PREENSAMBLADO)",VLOOKUP(CDV_PROY_BT!H163,FDV!$B$4:$E$9,IF(CDV_PROY_BT!$N$10="3F",3,4),FALSE),VLOOKUP(CDV_PROY_BT!H163,FDV!$B$25:$E$30,IF(CDV_PROY_BT!$N$10="3F",3,4),FALSE)))))</f>
        <v/>
      </c>
      <c r="K163" s="63" t="str">
        <f t="shared" si="18"/>
        <v/>
      </c>
      <c r="L163" s="62" t="str">
        <f t="shared" si="20"/>
        <v/>
      </c>
      <c r="M163" s="62" t="str">
        <f t="shared" si="21"/>
        <v/>
      </c>
      <c r="N163" s="155"/>
      <c r="U163" s="138">
        <f t="shared" si="22"/>
        <v>0</v>
      </c>
      <c r="V163" s="138">
        <f t="shared" si="23"/>
        <v>0</v>
      </c>
    </row>
    <row r="164" spans="1:22" ht="15" hidden="1">
      <c r="A164" s="167"/>
      <c r="B164" s="168"/>
      <c r="C164" s="169"/>
      <c r="D164" s="169"/>
      <c r="E164" s="170"/>
      <c r="F164" s="58" t="str">
        <f>IF($N$126="","",IF($N$126="INDUSTRIAL",IF(OR($D$124="",$D$130=""),"",IF(OR(D164&gt;$D$131,E164&gt;$D$132),"Rev. Total. abona.",IF(D164="",IF(E164="","",E164/(0.92*1000)),IF(OR($D$124="SAN CRISTOBAL",$D$124="FLOREANA"),VLOOKUP(D164,'Estratos SCY - FLO'!$A$4:$M$108,IF($D$130="A1",2,IF($D$130="A",5,IF($D$130="B",8,11))))+E164/(0.92*1000),VLOOKUP(D164,'Estratos SCX - ISA'!$A$3:$M$107,IF($D$130="A1",2,IF($D$130="A",5,IF($D$130="B",8,11))))+E164/(0.92*1000))))),IF(OR($D$124="",$D$130=""),"",IF(OR(D164&gt;$D$131,E164&gt;$D$132),"Rev. Total. abona.",IF(D164="",IF(E164="","",E164/(0.92*1000)),IF(OR($D$124="SAN CRISTOBAL",$D$124="FLOREANA"),VLOOKUP(D164,'Estratos SCY - FLO'!$O$4:$S$108,IF($D$130="A1",2,IF($D$130="A",3,IF($D$130="B",4,5))))+E164/(0.92*1000),VLOOKUP(D164,'Estratos SCX - ISA'!$O$4:$S$108,IF($D$130="A1",2,IF($D$130="A",3,IF($D$130="B",4,5))))+E164/(0.92*1000)))))))</f>
        <v/>
      </c>
      <c r="G164" s="59" t="str">
        <f t="shared" si="19"/>
        <v/>
      </c>
      <c r="H164" s="183"/>
      <c r="I164" s="183"/>
      <c r="J164" s="59" t="str">
        <f>IF(OR(H164="",$D$10="",$N$10=""),"",IF($D$10="COBRE",VLOOKUP(CDV_PROY_BT!H164,FDV!$B$16:$E$24,IF(CDV_PROY_BT!$N$10="3F",3,4),FALSE),IF($D$10="ACS",VLOOKUP(CDV_PROY_BT!H164,FDV!$B$10:$E$15,IF(CDV_PROY_BT!$N$10="3F",3,4),FALSE),IF($D$10="5005 (PREENSAMBLADO)",VLOOKUP(CDV_PROY_BT!H164,FDV!$B$4:$E$9,IF(CDV_PROY_BT!$N$10="3F",3,4),FALSE),VLOOKUP(CDV_PROY_BT!H164,FDV!$B$25:$E$30,IF(CDV_PROY_BT!$N$10="3F",3,4),FALSE)))))</f>
        <v/>
      </c>
      <c r="K164" s="63" t="str">
        <f t="shared" si="18"/>
        <v/>
      </c>
      <c r="L164" s="62" t="str">
        <f t="shared" si="20"/>
        <v/>
      </c>
      <c r="M164" s="62" t="str">
        <f t="shared" si="21"/>
        <v/>
      </c>
      <c r="N164" s="155"/>
      <c r="U164" s="138">
        <f t="shared" si="22"/>
        <v>0</v>
      </c>
      <c r="V164" s="138">
        <f t="shared" si="23"/>
        <v>0</v>
      </c>
    </row>
    <row r="165" spans="1:22" ht="15" hidden="1">
      <c r="A165" s="167"/>
      <c r="B165" s="168"/>
      <c r="C165" s="169"/>
      <c r="D165" s="169"/>
      <c r="E165" s="170"/>
      <c r="F165" s="58" t="str">
        <f>IF($N$126="","",IF($N$126="INDUSTRIAL",IF(OR($D$124="",$D$130=""),"",IF(OR(D165&gt;$D$131,E165&gt;$D$132),"Rev. Total. abona.",IF(D165="",IF(E165="","",E165/(0.92*1000)),IF(OR($D$124="SAN CRISTOBAL",$D$124="FLOREANA"),VLOOKUP(D165,'Estratos SCY - FLO'!$A$4:$M$108,IF($D$130="A1",2,IF($D$130="A",5,IF($D$130="B",8,11))))+E165/(0.92*1000),VLOOKUP(D165,'Estratos SCX - ISA'!$A$3:$M$107,IF($D$130="A1",2,IF($D$130="A",5,IF($D$130="B",8,11))))+E165/(0.92*1000))))),IF(OR($D$124="",$D$130=""),"",IF(OR(D165&gt;$D$131,E165&gt;$D$132),"Rev. Total. abona.",IF(D165="",IF(E165="","",E165/(0.92*1000)),IF(OR($D$124="SAN CRISTOBAL",$D$124="FLOREANA"),VLOOKUP(D165,'Estratos SCY - FLO'!$O$4:$S$108,IF($D$130="A1",2,IF($D$130="A",3,IF($D$130="B",4,5))))+E165/(0.92*1000),VLOOKUP(D165,'Estratos SCX - ISA'!$O$4:$S$108,IF($D$130="A1",2,IF($D$130="A",3,IF($D$130="B",4,5))))+E165/(0.92*1000)))))))</f>
        <v/>
      </c>
      <c r="G165" s="59" t="str">
        <f t="shared" si="19"/>
        <v/>
      </c>
      <c r="H165" s="183"/>
      <c r="I165" s="183"/>
      <c r="J165" s="59" t="str">
        <f>IF(OR(H165="",$D$10="",$N$10=""),"",IF($D$10="COBRE",VLOOKUP(CDV_PROY_BT!H165,FDV!$B$16:$E$24,IF(CDV_PROY_BT!$N$10="3F",3,4),FALSE),IF($D$10="ACS",VLOOKUP(CDV_PROY_BT!H165,FDV!$B$10:$E$15,IF(CDV_PROY_BT!$N$10="3F",3,4),FALSE),IF($D$10="5005 (PREENSAMBLADO)",VLOOKUP(CDV_PROY_BT!H165,FDV!$B$4:$E$9,IF(CDV_PROY_BT!$N$10="3F",3,4),FALSE),VLOOKUP(CDV_PROY_BT!H165,FDV!$B$25:$E$30,IF(CDV_PROY_BT!$N$10="3F",3,4),FALSE)))))</f>
        <v/>
      </c>
      <c r="K165" s="63" t="str">
        <f t="shared" si="18"/>
        <v/>
      </c>
      <c r="L165" s="62" t="str">
        <f t="shared" si="20"/>
        <v/>
      </c>
      <c r="M165" s="62" t="str">
        <f t="shared" si="21"/>
        <v/>
      </c>
      <c r="N165" s="155"/>
      <c r="U165" s="138">
        <f t="shared" si="22"/>
        <v>0</v>
      </c>
      <c r="V165" s="138">
        <f t="shared" si="23"/>
        <v>0</v>
      </c>
    </row>
    <row r="166" spans="1:22" ht="15" hidden="1">
      <c r="A166" s="167"/>
      <c r="B166" s="168"/>
      <c r="C166" s="169"/>
      <c r="D166" s="169"/>
      <c r="E166" s="170"/>
      <c r="F166" s="58" t="str">
        <f>IF($N$126="","",IF($N$126="INDUSTRIAL",IF(OR($D$124="",$D$130=""),"",IF(OR(D166&gt;$D$131,E166&gt;$D$132),"Rev. Total. abona.",IF(D166="",IF(E166="","",E166/(0.92*1000)),IF(OR($D$124="SAN CRISTOBAL",$D$124="FLOREANA"),VLOOKUP(D166,'Estratos SCY - FLO'!$A$4:$M$108,IF($D$130="A1",2,IF($D$130="A",5,IF($D$130="B",8,11))))+E166/(0.92*1000),VLOOKUP(D166,'Estratos SCX - ISA'!$A$3:$M$107,IF($D$130="A1",2,IF($D$130="A",5,IF($D$130="B",8,11))))+E166/(0.92*1000))))),IF(OR($D$124="",$D$130=""),"",IF(OR(D166&gt;$D$131,E166&gt;$D$132),"Rev. Total. abona.",IF(D166="",IF(E166="","",E166/(0.92*1000)),IF(OR($D$124="SAN CRISTOBAL",$D$124="FLOREANA"),VLOOKUP(D166,'Estratos SCY - FLO'!$O$4:$S$108,IF($D$130="A1",2,IF($D$130="A",3,IF($D$130="B",4,5))))+E166/(0.92*1000),VLOOKUP(D166,'Estratos SCX - ISA'!$O$4:$S$108,IF($D$130="A1",2,IF($D$130="A",3,IF($D$130="B",4,5))))+E166/(0.92*1000)))))))</f>
        <v/>
      </c>
      <c r="G166" s="59" t="str">
        <f t="shared" si="19"/>
        <v/>
      </c>
      <c r="H166" s="183"/>
      <c r="I166" s="183"/>
      <c r="J166" s="59" t="str">
        <f>IF(OR(H166="",$D$10="",$N$10=""),"",IF($D$10="COBRE",VLOOKUP(CDV_PROY_BT!H166,FDV!$B$16:$E$24,IF(CDV_PROY_BT!$N$10="3F",3,4),FALSE),IF($D$10="ACS",VLOOKUP(CDV_PROY_BT!H166,FDV!$B$10:$E$15,IF(CDV_PROY_BT!$N$10="3F",3,4),FALSE),IF($D$10="5005 (PREENSAMBLADO)",VLOOKUP(CDV_PROY_BT!H166,FDV!$B$4:$E$9,IF(CDV_PROY_BT!$N$10="3F",3,4),FALSE),VLOOKUP(CDV_PROY_BT!H166,FDV!$B$25:$E$30,IF(CDV_PROY_BT!$N$10="3F",3,4),FALSE)))))</f>
        <v/>
      </c>
      <c r="K166" s="63" t="str">
        <f t="shared" si="18"/>
        <v/>
      </c>
      <c r="L166" s="62" t="str">
        <f t="shared" si="20"/>
        <v/>
      </c>
      <c r="M166" s="62" t="str">
        <f t="shared" si="21"/>
        <v/>
      </c>
      <c r="N166" s="156"/>
      <c r="U166" s="138">
        <f t="shared" si="22"/>
        <v>0</v>
      </c>
      <c r="V166" s="138">
        <f t="shared" si="23"/>
        <v>0</v>
      </c>
    </row>
    <row r="167" spans="1:22" ht="15.75" hidden="1" thickBot="1">
      <c r="A167" s="178"/>
      <c r="B167" s="179"/>
      <c r="C167" s="180"/>
      <c r="D167" s="180"/>
      <c r="E167" s="181"/>
      <c r="F167" s="68" t="str">
        <f>IF($N$126="","",IF($N$126="INDUSTRIAL",IF(OR($D$124="",$D$130=""),"",IF(OR(D167&gt;$D$131,E167&gt;$D$132),"Rev. Total. abona.",IF(D167="",IF(E167="","",E167/(0.92*1000)),IF(OR($D$124="SAN CRISTOBAL",$D$124="FLOREANA"),VLOOKUP(D167,'Estratos SCY - FLO'!$A$4:$M$108,IF($D$130="A1",2,IF($D$130="A",5,IF($D$130="B",8,11))))+E167/(0.92*1000),VLOOKUP(D167,'Estratos SCX - ISA'!$A$3:$M$107,IF($D$130="A1",2,IF($D$130="A",5,IF($D$130="B",8,11))))+E167/(0.92*1000))))),IF(OR($D$124="",$D$130=""),"",IF(OR(D167&gt;$D$131,E167&gt;$D$132),"Rev. Total. abona.",IF(D167="",IF(E167="","",E167/(0.92*1000)),IF(OR($D$124="SAN CRISTOBAL",$D$124="FLOREANA"),VLOOKUP(D167,'Estratos SCY - FLO'!$O$4:$S$108,IF($D$130="A1",2,IF($D$130="A",3,IF($D$130="B",4,5))))+E167/(0.92*1000),VLOOKUP(D167,'Estratos SCX - ISA'!$O$4:$S$108,IF($D$130="A1",2,IF($D$130="A",3,IF($D$130="B",4,5))))+E167/(0.92*1000)))))))</f>
        <v/>
      </c>
      <c r="G167" s="69" t="str">
        <f t="shared" si="19"/>
        <v/>
      </c>
      <c r="H167" s="184"/>
      <c r="I167" s="184"/>
      <c r="J167" s="69" t="str">
        <f>IF(OR(H167="",$D$10="",$N$10=""),"",IF($D$10="COBRE",VLOOKUP(CDV_PROY_BT!H167,FDV!$B$16:$E$24,IF(CDV_PROY_BT!$N$10="3F",3,4),FALSE),IF($D$10="ACS",VLOOKUP(CDV_PROY_BT!H167,FDV!$B$10:$E$15,IF(CDV_PROY_BT!$N$10="3F",3,4),FALSE),IF($D$10="5005 (PREENSAMBLADO)",VLOOKUP(CDV_PROY_BT!H167,FDV!$B$4:$E$9,IF(CDV_PROY_BT!$N$10="3F",3,4),FALSE),VLOOKUP(CDV_PROY_BT!H167,FDV!$B$25:$E$30,IF(CDV_PROY_BT!$N$10="3F",3,4),FALSE)))))</f>
        <v/>
      </c>
      <c r="K167" s="65" t="str">
        <f t="shared" si="18"/>
        <v/>
      </c>
      <c r="L167" s="64" t="str">
        <f t="shared" si="20"/>
        <v/>
      </c>
      <c r="M167" s="64" t="str">
        <f t="shared" si="21"/>
        <v/>
      </c>
      <c r="N167" s="157"/>
      <c r="U167" s="138">
        <f t="shared" si="22"/>
        <v>0</v>
      </c>
      <c r="V167" s="138">
        <f t="shared" si="23"/>
        <v>0</v>
      </c>
    </row>
    <row r="168" spans="1:22" ht="15.75" hidden="1" thickBot="1">
      <c r="A168" s="143"/>
      <c r="B168" s="67" t="str">
        <f>IF(N137="","",N137)</f>
        <v>P18</v>
      </c>
      <c r="C168" s="144"/>
      <c r="D168" s="144"/>
      <c r="E168" s="145"/>
      <c r="F168" s="68"/>
      <c r="G168" s="69" t="str">
        <f t="shared" si="19"/>
        <v/>
      </c>
      <c r="H168" s="146" t="e">
        <f>IF(B168="","",IF(B168-A168=1,H167,""))</f>
        <v>#VALUE!</v>
      </c>
      <c r="I168" s="146"/>
      <c r="J168" s="70" t="e">
        <f>IF(OR(H168="",$D$10="",$N$10=""),"",IF($D$10="COBRE",VLOOKUP(CDV_PROY_BT!H168,FDV!$B$16:$E$24,IF(CDV_PROY_BT!$N$10="3F",3,4),FALSE),IF($D$10="ACS",VLOOKUP(CDV_PROY_BT!H168,FDV!$B$10:$E$15,IF(CDV_PROY_BT!$N$10="3F",3,4),FALSE),IF($D$10="5005 (PREENSAMBLADO)",VLOOKUP(CDV_PROY_BT!H168,FDV!$B$4:$E$9,IF(CDV_PROY_BT!$N$10="3F",3,4),FALSE),VLOOKUP(CDV_PROY_BT!H168,FDV!$B$25:$E$30,IF(CDV_PROY_BT!$N$10="3F",3,4),FALSE)))))</f>
        <v>#VALUE!</v>
      </c>
      <c r="K168" s="71" t="str">
        <f t="shared" si="18"/>
        <v/>
      </c>
      <c r="L168" s="68" t="str">
        <f aca="true" t="shared" si="24" ref="L168">IF(C168="","",ROUND(K168/J168,2))</f>
        <v/>
      </c>
      <c r="M168" s="72">
        <v>0</v>
      </c>
      <c r="N168" s="66"/>
      <c r="U168" s="138">
        <f aca="true" t="shared" si="25" ref="U168:U169">+IF(D168&gt;0,C168,0)</f>
        <v>0</v>
      </c>
      <c r="V168" s="138">
        <f aca="true" t="shared" si="26" ref="V168:V169">IF(C168="",0,C168*G168)</f>
        <v>0</v>
      </c>
    </row>
    <row r="169" spans="1:22" ht="15.75" hidden="1" thickBot="1">
      <c r="A169" s="73" t="s">
        <v>113</v>
      </c>
      <c r="B169" s="74"/>
      <c r="C169" s="75"/>
      <c r="D169" s="75"/>
      <c r="E169" s="76"/>
      <c r="F169" s="77"/>
      <c r="G169" s="78"/>
      <c r="H169" s="79"/>
      <c r="I169" s="79"/>
      <c r="J169" s="78"/>
      <c r="K169" s="121"/>
      <c r="L169" s="121"/>
      <c r="M169" s="128"/>
      <c r="N169" s="240"/>
      <c r="U169" s="138">
        <f t="shared" si="25"/>
        <v>0</v>
      </c>
      <c r="V169" s="138">
        <f t="shared" si="26"/>
        <v>0</v>
      </c>
    </row>
    <row r="170" spans="1:14" ht="15.75" hidden="1" thickBot="1">
      <c r="A170" s="93" t="s">
        <v>96</v>
      </c>
      <c r="B170" s="94">
        <f>+ROUND(SUMIF(H141:H167,"4/0",V141:V169)*1.015,0)</f>
        <v>0</v>
      </c>
      <c r="C170" s="93" t="s">
        <v>97</v>
      </c>
      <c r="D170" s="94">
        <f>ROUND((SUMIF(H141:H167,"3/0",V141:V169))*1.015,0)</f>
        <v>0</v>
      </c>
      <c r="E170" s="82" t="s">
        <v>95</v>
      </c>
      <c r="F170" s="81">
        <f>ROUND((SUMIF(H141:H167,"2/0",V141:V169))*1.015,0)</f>
        <v>59</v>
      </c>
      <c r="G170" s="80" t="s">
        <v>57</v>
      </c>
      <c r="H170" s="81">
        <f>ROUND((SUMIF(H141:H167,"1/0",V141:V169))*1.015,0)</f>
        <v>0</v>
      </c>
      <c r="I170" s="93" t="s">
        <v>58</v>
      </c>
      <c r="J170" s="94">
        <f>ROUND((SUMIF(H141:H167,"2",V141:V169))*1.015,0)</f>
        <v>0</v>
      </c>
      <c r="K170" s="147"/>
      <c r="L170" s="91"/>
      <c r="M170" s="92"/>
      <c r="N170" s="241"/>
    </row>
    <row r="171" spans="1:14" ht="15.75" hidden="1" thickBot="1">
      <c r="A171" s="119" t="s">
        <v>107</v>
      </c>
      <c r="B171" s="92"/>
      <c r="C171" s="91"/>
      <c r="D171" s="92"/>
      <c r="E171" s="91"/>
      <c r="F171" s="92"/>
      <c r="G171" s="91"/>
      <c r="H171" s="92"/>
      <c r="I171" s="92"/>
      <c r="J171" s="91"/>
      <c r="K171" s="92"/>
      <c r="L171" s="91"/>
      <c r="M171" s="92"/>
      <c r="N171" s="241"/>
    </row>
    <row r="172" spans="1:14" ht="15.75" hidden="1" thickBot="1">
      <c r="A172" s="93" t="s">
        <v>96</v>
      </c>
      <c r="B172" s="94">
        <f>+ROUND(SUMIF(I141:I167,"4/0",U141:U169)*1.015,0)</f>
        <v>0</v>
      </c>
      <c r="C172" s="93" t="s">
        <v>97</v>
      </c>
      <c r="D172" s="94">
        <f>ROUND((SUMIF(I141:I167,"3/0",U141:U169))*1.015,0)</f>
        <v>0</v>
      </c>
      <c r="E172" s="93" t="s">
        <v>95</v>
      </c>
      <c r="F172" s="94">
        <f>ROUND((SUMIF(I141:I167,"2/0",U141:U169))*1.015,0)</f>
        <v>59</v>
      </c>
      <c r="G172" s="93" t="s">
        <v>57</v>
      </c>
      <c r="H172" s="94">
        <f>ROUND((SUMIF(I141:I167,"1/0",U141:U169))*1.015,0)</f>
        <v>0</v>
      </c>
      <c r="I172" s="93" t="s">
        <v>58</v>
      </c>
      <c r="J172" s="94">
        <f>ROUND((SUMIF(I141:I167,"2",U141:U169))*1.015,0)</f>
        <v>0</v>
      </c>
      <c r="L172" s="91"/>
      <c r="M172" s="92"/>
      <c r="N172" s="241"/>
    </row>
    <row r="173" spans="1:14" ht="15.75" hidden="1" thickBot="1">
      <c r="A173" s="244" t="s">
        <v>123</v>
      </c>
      <c r="B173" s="244"/>
      <c r="C173" s="244"/>
      <c r="D173" s="21">
        <f>IF(N128="","",SUM(C141:C167))</f>
        <v>58</v>
      </c>
      <c r="E173" s="28" t="s">
        <v>59</v>
      </c>
      <c r="G173" s="21"/>
      <c r="H173" s="21"/>
      <c r="I173" s="21"/>
      <c r="J173" s="21"/>
      <c r="K173" s="21"/>
      <c r="L173" s="21"/>
      <c r="M173" s="23"/>
      <c r="N173" s="83" t="s">
        <v>80</v>
      </c>
    </row>
    <row r="174" spans="1:14" ht="15" hidden="1">
      <c r="A174" s="36" t="s">
        <v>60</v>
      </c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9"/>
      <c r="N174" s="84" t="s">
        <v>61</v>
      </c>
    </row>
    <row r="175" spans="1:14" ht="15.75" hidden="1" thickBot="1">
      <c r="A175" s="148"/>
      <c r="B175" s="242"/>
      <c r="C175" s="242"/>
      <c r="D175" s="242"/>
      <c r="E175" s="242"/>
      <c r="F175" s="242"/>
      <c r="G175" s="242"/>
      <c r="H175" s="242"/>
      <c r="I175" s="242"/>
      <c r="J175" s="242"/>
      <c r="K175" s="242"/>
      <c r="L175" s="242"/>
      <c r="M175" s="243"/>
      <c r="N175" s="85">
        <f>MAX(N141:N167)</f>
        <v>3.16</v>
      </c>
    </row>
    <row r="176" ht="15" hidden="1"/>
    <row r="177" ht="15.75" hidden="1" thickBot="1"/>
    <row r="178" spans="1:14" ht="15.75" hidden="1" thickBot="1">
      <c r="A178" s="18"/>
      <c r="B178" s="18"/>
      <c r="C178" s="19"/>
      <c r="D178" s="19"/>
      <c r="E178" s="19"/>
      <c r="F178" s="20"/>
      <c r="G178" s="18"/>
      <c r="H178" s="18"/>
      <c r="I178" s="18"/>
      <c r="J178" s="19"/>
      <c r="K178" s="18"/>
      <c r="L178" s="18"/>
      <c r="M178" s="131" t="s">
        <v>122</v>
      </c>
      <c r="N178" s="161" t="s">
        <v>208</v>
      </c>
    </row>
    <row r="179" spans="1:14" ht="18" hidden="1">
      <c r="A179" s="245" t="s">
        <v>62</v>
      </c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</row>
    <row r="180" spans="1:14" ht="18" hidden="1">
      <c r="A180" s="192"/>
      <c r="B180" s="192"/>
      <c r="C180" s="192"/>
      <c r="D180" s="192"/>
      <c r="E180" s="192"/>
      <c r="F180" s="22" t="s">
        <v>111</v>
      </c>
      <c r="G180" s="192"/>
      <c r="H180" s="192"/>
      <c r="I180" s="192"/>
      <c r="J180" s="192"/>
      <c r="K180" s="192"/>
      <c r="L180" s="192"/>
      <c r="M180" s="192"/>
      <c r="N180" s="87"/>
    </row>
    <row r="181" spans="1:31" ht="15.75" hidden="1">
      <c r="A181" s="246" t="s">
        <v>112</v>
      </c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U181" s="138" t="s">
        <v>63</v>
      </c>
      <c r="W181" s="138" t="s">
        <v>24</v>
      </c>
      <c r="Y181" s="138" t="s">
        <v>69</v>
      </c>
      <c r="AA181" s="138" t="s">
        <v>72</v>
      </c>
      <c r="AB181" s="138" t="s">
        <v>77</v>
      </c>
      <c r="AC181" s="138" t="s">
        <v>79</v>
      </c>
      <c r="AD181" s="138" t="s">
        <v>170</v>
      </c>
      <c r="AE181" s="138" t="s">
        <v>176</v>
      </c>
    </row>
    <row r="182" spans="1:31" ht="16.5" hidden="1" thickBot="1">
      <c r="A182" s="24"/>
      <c r="B182" s="18"/>
      <c r="C182" s="19"/>
      <c r="D182" s="19"/>
      <c r="E182" s="19"/>
      <c r="F182" s="20"/>
      <c r="G182" s="20"/>
      <c r="H182" s="18"/>
      <c r="I182" s="18"/>
      <c r="J182" s="18"/>
      <c r="K182" s="19"/>
      <c r="L182" s="18"/>
      <c r="M182" s="18"/>
      <c r="N182" s="23"/>
      <c r="U182" s="138" t="s">
        <v>64</v>
      </c>
      <c r="W182" s="138" t="s">
        <v>82</v>
      </c>
      <c r="Y182" s="138" t="s">
        <v>70</v>
      </c>
      <c r="AA182" s="138" t="s">
        <v>73</v>
      </c>
      <c r="AB182" s="138" t="s">
        <v>29</v>
      </c>
      <c r="AC182" s="139">
        <v>2</v>
      </c>
      <c r="AD182" s="138" t="s">
        <v>171</v>
      </c>
      <c r="AE182" s="138">
        <v>0.65</v>
      </c>
    </row>
    <row r="183" spans="1:31" ht="15.75" hidden="1" thickBot="1">
      <c r="A183" s="25" t="s">
        <v>23</v>
      </c>
      <c r="B183" s="26"/>
      <c r="C183" s="88"/>
      <c r="D183" s="258" t="s">
        <v>64</v>
      </c>
      <c r="E183" s="258"/>
      <c r="F183" s="266" t="s">
        <v>92</v>
      </c>
      <c r="G183" s="267"/>
      <c r="H183" s="263" t="str">
        <f>+H124</f>
        <v>Puerto Villamil</v>
      </c>
      <c r="I183" s="264"/>
      <c r="J183" s="265"/>
      <c r="K183" s="268" t="s">
        <v>81</v>
      </c>
      <c r="L183" s="269"/>
      <c r="M183" s="261" t="str">
        <f>+M124</f>
        <v>Pedregal V</v>
      </c>
      <c r="N183" s="262"/>
      <c r="U183" s="138" t="s">
        <v>65</v>
      </c>
      <c r="W183" s="138" t="s">
        <v>83</v>
      </c>
      <c r="Y183" s="138" t="s">
        <v>7</v>
      </c>
      <c r="AA183" s="138" t="s">
        <v>76</v>
      </c>
      <c r="AB183" s="138" t="s">
        <v>78</v>
      </c>
      <c r="AC183" s="139" t="s">
        <v>0</v>
      </c>
      <c r="AD183" s="138" t="s">
        <v>172</v>
      </c>
      <c r="AE183" s="138">
        <v>0.7</v>
      </c>
    </row>
    <row r="184" spans="1:31" ht="15.75" hidden="1" thickBot="1">
      <c r="A184" s="21"/>
      <c r="B184" s="21"/>
      <c r="C184" s="21"/>
      <c r="D184" s="21"/>
      <c r="E184" s="21"/>
      <c r="F184" s="28"/>
      <c r="G184" s="28"/>
      <c r="H184" s="21"/>
      <c r="I184" s="21"/>
      <c r="J184" s="21"/>
      <c r="K184" s="21"/>
      <c r="L184" s="21"/>
      <c r="M184" s="21"/>
      <c r="N184" s="23"/>
      <c r="U184" s="138" t="s">
        <v>66</v>
      </c>
      <c r="W184" s="138" t="s">
        <v>68</v>
      </c>
      <c r="Y184" s="138" t="s">
        <v>27</v>
      </c>
      <c r="AA184" s="138" t="s">
        <v>74</v>
      </c>
      <c r="AC184" s="139" t="s">
        <v>1</v>
      </c>
      <c r="AD184" s="138" t="s">
        <v>173</v>
      </c>
      <c r="AE184" s="138">
        <v>0.8</v>
      </c>
    </row>
    <row r="185" spans="1:31" ht="15.75" hidden="1" thickBot="1">
      <c r="A185" s="25" t="s">
        <v>24</v>
      </c>
      <c r="B185" s="26"/>
      <c r="C185" s="26"/>
      <c r="D185" s="259" t="s">
        <v>68</v>
      </c>
      <c r="E185" s="258"/>
      <c r="F185" s="260"/>
      <c r="G185" s="26"/>
      <c r="H185" s="29"/>
      <c r="I185" s="29"/>
      <c r="J185" s="26"/>
      <c r="K185" s="26"/>
      <c r="L185" s="26" t="s">
        <v>174</v>
      </c>
      <c r="M185" s="26"/>
      <c r="N185" s="211" t="s">
        <v>173</v>
      </c>
      <c r="U185" s="138" t="s">
        <v>67</v>
      </c>
      <c r="Y185" s="138" t="s">
        <v>9</v>
      </c>
      <c r="AA185" s="138" t="s">
        <v>75</v>
      </c>
      <c r="AC185" s="139" t="s">
        <v>2</v>
      </c>
      <c r="AE185" s="138">
        <v>0.9</v>
      </c>
    </row>
    <row r="186" spans="1:31" ht="15.75" hidden="1" thickBot="1">
      <c r="A186" s="23" t="s">
        <v>25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 t="s">
        <v>178</v>
      </c>
      <c r="L186" s="208"/>
      <c r="M186" s="23"/>
      <c r="N186" s="43" t="str">
        <f>IF(N187="","",IF(N187="3F","220 / 127 V","240 / 120 V"))</f>
        <v>220 / 127 V</v>
      </c>
      <c r="AC186" s="141" t="s">
        <v>3</v>
      </c>
      <c r="AE186" s="138">
        <v>1</v>
      </c>
    </row>
    <row r="187" spans="1:24" ht="15.75" hidden="1" thickBot="1">
      <c r="A187" s="30" t="s">
        <v>26</v>
      </c>
      <c r="B187" s="18"/>
      <c r="C187" s="23"/>
      <c r="D187" s="253" t="s">
        <v>70</v>
      </c>
      <c r="E187" s="254"/>
      <c r="F187" s="18"/>
      <c r="G187" s="18"/>
      <c r="H187" s="18"/>
      <c r="I187" s="18"/>
      <c r="J187" s="18"/>
      <c r="K187" s="23"/>
      <c r="L187" s="18" t="s">
        <v>179</v>
      </c>
      <c r="M187" s="18"/>
      <c r="N187" s="151" t="s">
        <v>78</v>
      </c>
      <c r="U187" s="138" t="s">
        <v>64</v>
      </c>
      <c r="W187" s="138" t="s">
        <v>29</v>
      </c>
      <c r="X187" s="138" t="s">
        <v>78</v>
      </c>
    </row>
    <row r="188" spans="1:24" ht="15.75" hidden="1" thickBot="1">
      <c r="A188" s="23"/>
      <c r="B188" s="31"/>
      <c r="C188" s="23"/>
      <c r="D188" s="19"/>
      <c r="E188" s="32"/>
      <c r="F188" s="32"/>
      <c r="G188" s="20"/>
      <c r="H188" s="20"/>
      <c r="I188" s="20"/>
      <c r="J188" s="33"/>
      <c r="K188" s="21" t="s">
        <v>175</v>
      </c>
      <c r="L188" s="35"/>
      <c r="M188" s="18"/>
      <c r="N188" s="209">
        <v>0.8</v>
      </c>
      <c r="U188" s="138" t="s">
        <v>84</v>
      </c>
      <c r="W188" s="138">
        <v>10</v>
      </c>
      <c r="X188" s="138">
        <v>30</v>
      </c>
    </row>
    <row r="189" spans="1:24" ht="15.75" hidden="1" thickBot="1">
      <c r="A189" s="36" t="s">
        <v>71</v>
      </c>
      <c r="B189" s="37"/>
      <c r="C189" s="37"/>
      <c r="D189" s="150" t="s">
        <v>73</v>
      </c>
      <c r="E189" s="38"/>
      <c r="F189" s="39"/>
      <c r="G189" s="39"/>
      <c r="H189" s="39"/>
      <c r="I189" s="39"/>
      <c r="J189" s="37"/>
      <c r="K189" s="36"/>
      <c r="L189" s="37"/>
      <c r="M189" s="89" t="s">
        <v>30</v>
      </c>
      <c r="N189" s="190" t="s">
        <v>142</v>
      </c>
      <c r="U189" s="138" t="s">
        <v>85</v>
      </c>
      <c r="W189" s="138">
        <v>15</v>
      </c>
      <c r="X189" s="138">
        <v>50</v>
      </c>
    </row>
    <row r="190" spans="1:24" ht="15.75" hidden="1" thickBot="1">
      <c r="A190" s="41" t="s">
        <v>31</v>
      </c>
      <c r="B190" s="21"/>
      <c r="C190" s="21"/>
      <c r="D190" s="150">
        <v>19</v>
      </c>
      <c r="E190" s="21"/>
      <c r="F190" s="28"/>
      <c r="G190" s="42" t="s">
        <v>32</v>
      </c>
      <c r="H190" s="274" t="str">
        <f>+H131</f>
        <v>J.P</v>
      </c>
      <c r="I190" s="275"/>
      <c r="J190" s="275"/>
      <c r="K190" s="41"/>
      <c r="L190" s="21"/>
      <c r="M190" s="115" t="s">
        <v>93</v>
      </c>
      <c r="N190" s="210">
        <f>+N191/N188</f>
        <v>118.72328783502078</v>
      </c>
      <c r="U190" s="138" t="s">
        <v>86</v>
      </c>
      <c r="W190" s="138">
        <v>25</v>
      </c>
      <c r="X190" s="138">
        <v>75</v>
      </c>
    </row>
    <row r="191" spans="1:24" ht="15.75" hidden="1" thickBot="1">
      <c r="A191" s="41" t="s">
        <v>34</v>
      </c>
      <c r="B191" s="21"/>
      <c r="C191" s="21"/>
      <c r="D191" s="162">
        <v>330</v>
      </c>
      <c r="E191" s="41"/>
      <c r="F191" s="28"/>
      <c r="G191" s="42" t="s">
        <v>35</v>
      </c>
      <c r="H191" s="249">
        <f>+H132</f>
        <v>43511</v>
      </c>
      <c r="I191" s="250"/>
      <c r="J191" s="250"/>
      <c r="K191" s="41"/>
      <c r="L191" s="21"/>
      <c r="M191" s="115" t="s">
        <v>177</v>
      </c>
      <c r="N191" s="116">
        <f>IF($N$185="","",IF($N$185="INDUSTRIAL",IF(OR(D183="",D189="",D190=""),"",(IF(OR(D183="SAN CRISTOBAL",D183="FLOREANA"),VLOOKUP(D190,'Estratos SCY - FLO'!$A$4:$M$108,IF(D189="A1",2,IF(D189="A",5,IF(D189="B",8,11))),0),VLOOKUP(D190,'Estratos SCX - ISA'!$A$4:$M$108,IF(D189="A1",2,IF(D189="A",5,IF(D189="B",8,11))),0))+D191/920)*N188),IF(OR(D183="",D189="",D190=""),"",(IF(OR(D183="SAN CRISTOBAL",D183="FLOREANA"),VLOOKUP(D190,'Estratos SCY - FLO'!$O$4:$S$108,IF(D189="A1",2,IF(D189="A",3,IF(D189="B",4,5))),0),VLOOKUP(D190,'Estratos SCX - ISA'!$O$4:$S$108,IF(D189="A1",2,IF(D189="A",3,IF(D189="B",4,5))),0))+D191/920)*N188)))</f>
        <v>94.97863026801663</v>
      </c>
      <c r="U191" s="138" t="s">
        <v>87</v>
      </c>
      <c r="W191" s="138">
        <v>37.5</v>
      </c>
      <c r="X191" s="138">
        <v>100</v>
      </c>
    </row>
    <row r="192" spans="1:24" ht="29.25" customHeight="1" hidden="1" thickBot="1">
      <c r="A192" s="270" t="str">
        <f>+IF(OR(N185="INDUSTRIAL"),"NOTA: Estratos:  A1 (Consumo-Alto); A (Consumo-Medio); B(Consumo-Bajo); C(Consumo-Mínimo)",IF(N185="","","NOTA: Estratos:  A1 (Casco Urbano-Sector hotelero);A (Barrios Centricos); B(Zona Periferica); C(Zona Rural)"))</f>
        <v>NOTA: Estratos:  A1 (Consumo-Alto); A (Consumo-Medio); B(Consumo-Bajo); C(Consumo-Mínimo)</v>
      </c>
      <c r="B192" s="271"/>
      <c r="C192" s="271"/>
      <c r="D192" s="271"/>
      <c r="E192" s="271"/>
      <c r="F192" s="271"/>
      <c r="G192" s="271"/>
      <c r="H192" s="271"/>
      <c r="I192" s="271"/>
      <c r="J192" s="271"/>
      <c r="K192" s="44"/>
      <c r="L192" s="34"/>
      <c r="M192" s="130" t="str">
        <f>+IF(OR(N187="",D189="",D190=""),"","POT. NOMINAL TRAFO. (KVA):")</f>
        <v>POT. NOMINAL TRAFO. (KVA):</v>
      </c>
      <c r="N192" s="117">
        <f>IF(OR(N187="",N188="",N188=0),"",IF(N187="1F",IF(N191&lt;$W$11,$W$11,IF(AND(N191&gt;$W$11,N191&lt;$W$12),$W$12,IF(AND(N191&gt;$W$12,N191&lt;$W$13),$W$13,IF(AND(N191&gt;$W$13,N191&lt;$W$14),$W$14,IF(AND(N191&gt;$W$14,N191&lt;$W$15),$W$15,IF(AND(N191&gt;$W$15,N191&lt;$W$16),$W$16,IF(AND(N191&gt;$W$16,N191&lt;$W$17),$W$17,IF(AND(N191&gt;$W$17,N191&lt;$W$18),$W$18,IF(AND(N191&gt;$W$18,N191&lt;$W$19),$W$19,""))))))))),IF($N$191&lt;$X$11,$X$11,IF(AND(N191&gt;$X$11,N191&lt;$X$12),$X$12,IF(AND(N191&gt;$X$12,N191&lt;$X$13),$X$13,IF(AND(N191&gt;$X$13,N191&lt;$X$14),$X$14,IF(AND(N191&gt;$X$14,N191&lt;$X$15),$X$15,IF(AND(N191&gt;$X$15,N191&lt;$X$16),$X$16,IF(AND(N191&gt;$X$16,N191&lt;$X$17),$X$17,"")))))))))</f>
        <v>100</v>
      </c>
      <c r="U192" s="138" t="s">
        <v>88</v>
      </c>
      <c r="W192" s="138">
        <v>50</v>
      </c>
      <c r="X192" s="138">
        <v>125</v>
      </c>
    </row>
    <row r="193" spans="1:24" ht="15.75" hidden="1" thickBot="1">
      <c r="A193" s="21"/>
      <c r="B193" s="21"/>
      <c r="C193" s="21"/>
      <c r="D193" s="21"/>
      <c r="E193" s="21"/>
      <c r="F193" s="28"/>
      <c r="G193" s="28"/>
      <c r="H193" s="21"/>
      <c r="I193" s="21"/>
      <c r="J193" s="21"/>
      <c r="K193" s="21"/>
      <c r="L193" s="21"/>
      <c r="M193" s="21"/>
      <c r="N193" s="23"/>
      <c r="U193" s="138" t="s">
        <v>89</v>
      </c>
      <c r="W193" s="138">
        <v>75</v>
      </c>
      <c r="X193" s="138">
        <v>150</v>
      </c>
    </row>
    <row r="194" spans="1:24" ht="19.5" hidden="1" thickBot="1">
      <c r="A194" s="46" t="s">
        <v>36</v>
      </c>
      <c r="B194" s="47"/>
      <c r="C194" s="47"/>
      <c r="D194" s="48" t="s">
        <v>37</v>
      </c>
      <c r="E194" s="49"/>
      <c r="F194" s="50"/>
      <c r="G194" s="50"/>
      <c r="H194" s="37"/>
      <c r="I194" s="37"/>
      <c r="J194" s="37"/>
      <c r="K194" s="37"/>
      <c r="L194" s="37"/>
      <c r="M194" s="37"/>
      <c r="N194" s="40"/>
      <c r="U194" s="138" t="s">
        <v>90</v>
      </c>
      <c r="W194" s="138">
        <v>100</v>
      </c>
      <c r="X194" s="138">
        <v>200</v>
      </c>
    </row>
    <row r="195" spans="1:23" ht="15.75" hidden="1" thickBot="1">
      <c r="A195" s="41"/>
      <c r="B195" s="21"/>
      <c r="C195" s="21"/>
      <c r="D195" s="21"/>
      <c r="E195" s="21"/>
      <c r="F195" s="28"/>
      <c r="G195" s="28"/>
      <c r="H195" s="21"/>
      <c r="I195" s="21"/>
      <c r="J195" s="21"/>
      <c r="K195" s="21"/>
      <c r="L195" s="21" t="s">
        <v>196</v>
      </c>
      <c r="M195" s="21"/>
      <c r="N195" s="163"/>
      <c r="U195" s="138" t="s">
        <v>91</v>
      </c>
      <c r="W195" s="138">
        <v>112.5</v>
      </c>
    </row>
    <row r="196" spans="1:23" ht="15.75" hidden="1" thickBot="1">
      <c r="A196" s="44"/>
      <c r="B196" s="34"/>
      <c r="C196" s="34"/>
      <c r="D196" s="34"/>
      <c r="E196" s="34"/>
      <c r="F196" s="45"/>
      <c r="G196" s="45"/>
      <c r="H196" s="34"/>
      <c r="I196" s="34"/>
      <c r="J196" s="34"/>
      <c r="K196" s="34"/>
      <c r="L196" s="113" t="s">
        <v>102</v>
      </c>
      <c r="M196" s="142"/>
      <c r="N196" s="163" t="s">
        <v>156</v>
      </c>
      <c r="W196" s="138">
        <v>125</v>
      </c>
    </row>
    <row r="197" spans="1:14" ht="15.75" hidden="1" thickBot="1">
      <c r="A197" s="21"/>
      <c r="B197" s="21"/>
      <c r="C197" s="21"/>
      <c r="D197" s="21"/>
      <c r="E197" s="21"/>
      <c r="F197" s="28"/>
      <c r="G197" s="28"/>
      <c r="H197" s="21"/>
      <c r="I197" s="21"/>
      <c r="J197" s="21"/>
      <c r="K197" s="21"/>
      <c r="L197" s="21"/>
      <c r="M197" s="21"/>
      <c r="N197" s="23"/>
    </row>
    <row r="198" spans="1:22" ht="15.75" hidden="1" thickBot="1">
      <c r="A198" s="257" t="s">
        <v>38</v>
      </c>
      <c r="B198" s="252"/>
      <c r="C198" s="52" t="s">
        <v>39</v>
      </c>
      <c r="D198" s="52" t="s">
        <v>40</v>
      </c>
      <c r="E198" s="53" t="s">
        <v>41</v>
      </c>
      <c r="F198" s="53" t="s">
        <v>42</v>
      </c>
      <c r="G198" s="257" t="s">
        <v>43</v>
      </c>
      <c r="H198" s="251"/>
      <c r="I198" s="251"/>
      <c r="J198" s="252"/>
      <c r="K198" s="255" t="s">
        <v>44</v>
      </c>
      <c r="L198" s="251" t="s">
        <v>45</v>
      </c>
      <c r="M198" s="251"/>
      <c r="N198" s="252"/>
      <c r="U198" s="237" t="s">
        <v>98</v>
      </c>
      <c r="V198" s="237" t="s">
        <v>99</v>
      </c>
    </row>
    <row r="199" spans="1:22" ht="15.75" hidden="1" thickBot="1">
      <c r="A199" s="52" t="s">
        <v>46</v>
      </c>
      <c r="B199" s="52" t="s">
        <v>47</v>
      </c>
      <c r="C199" s="54" t="s">
        <v>48</v>
      </c>
      <c r="D199" s="54" t="s">
        <v>49</v>
      </c>
      <c r="E199" s="55" t="s">
        <v>50</v>
      </c>
      <c r="F199" s="55" t="s">
        <v>51</v>
      </c>
      <c r="G199" s="56" t="s">
        <v>52</v>
      </c>
      <c r="H199" s="43" t="s">
        <v>105</v>
      </c>
      <c r="I199" s="124" t="s">
        <v>106</v>
      </c>
      <c r="J199" s="43" t="s">
        <v>53</v>
      </c>
      <c r="K199" s="256"/>
      <c r="L199" s="53" t="s">
        <v>54</v>
      </c>
      <c r="M199" s="43" t="s">
        <v>55</v>
      </c>
      <c r="N199" s="57" t="s">
        <v>56</v>
      </c>
      <c r="U199" s="237"/>
      <c r="V199" s="237"/>
    </row>
    <row r="200" spans="1:22" ht="15" hidden="1">
      <c r="A200" s="191" t="str">
        <f>IF(N196="","",N196)</f>
        <v>P22</v>
      </c>
      <c r="B200" s="164" t="s">
        <v>155</v>
      </c>
      <c r="C200" s="165">
        <v>29</v>
      </c>
      <c r="D200" s="165">
        <v>5</v>
      </c>
      <c r="E200" s="166">
        <v>110</v>
      </c>
      <c r="F200" s="193">
        <f>IF($N$185="","",IF($N$185="INDUSTRIAL",IF(OR($D$183="",$D$189=""),"",IF(OR(D200&gt;$D$190,E200&gt;$D$191),"Rev. Total. abona.",IF(D200="",IF(E200="","",E200/(0.92*1000)),IF(OR($D$183="SAN CRISTOBAL",$D$183="FLOREANA"),VLOOKUP(D200,'Estratos SCY - FLO'!$A$4:$M$108,IF($D$189="A1",2,IF($D$189="A",5,IF($D$189="B",8,11))))+E200/(0.92*1000),VLOOKUP(D200,'Estratos SCX - ISA'!$A$3:$M$107,IF($D$189="A1",2,IF($D$189="A",5,IF($D$189="B",8,11))))+E200/(0.92*1000))))),IF(OR($D$183="",$D$189=""),"",IF(OR(D200&gt;$D$190,E200&gt;$D$191),"Rev. Total. abona.",IF(D200="",IF(E200="","",E200/(0.92*1000)),IF(OR($D$183="SAN CRISTOBAL",$D$183="FLOREANA"),VLOOKUP(D200,'Estratos SCY - FLO'!$O$4:$S$108,IF($D$189="A1",2,IF($D$189="A",3,IF($D$189="B",4,5))))+E200/(0.92*1000),VLOOKUP(D200,'Estratos SCX - ISA'!$O$4:$S$108,IF($D$189="A1",2,IF($D$189="A",3,IF($D$189="B",4,5))))+E200/(0.92*1000)))))))</f>
        <v>35.24475934799689</v>
      </c>
      <c r="G200" s="95">
        <f>IF(OR($N$10="",C200=""),"",IF($N$10="1F",1,3))</f>
        <v>1</v>
      </c>
      <c r="H200" s="182" t="s">
        <v>1</v>
      </c>
      <c r="I200" s="182" t="s">
        <v>1</v>
      </c>
      <c r="J200" s="95">
        <f>IF(OR(H200="",$D$10="",$N$10=""),"",IF($D$10="COBRE",VLOOKUP(CDV_PROY_BT!H200,FDV!$B$16:$E$24,IF(CDV_PROY_BT!$N$10="3F",3,4),FALSE),IF($D$10="ACS",VLOOKUP(CDV_PROY_BT!H200,FDV!$B$10:$E$15,IF(CDV_PROY_BT!$N$10="3F",3,4),FALSE),IF($D$10="5005 (PREENSAMBLADO)",VLOOKUP(CDV_PROY_BT!H200,FDV!$B$4:$E$9,IF(CDV_PROY_BT!$N$10="3F",3,4),FALSE),VLOOKUP(CDV_PROY_BT!H200,FDV!$B$25:$E$30,IF(CDV_PROY_BT!$N$10="3F",3,4),FALSE)))))</f>
        <v>495</v>
      </c>
      <c r="K200" s="60">
        <f aca="true" t="shared" si="27" ref="K200:K227">IF(C200="","",ROUND(F200*C200,0))</f>
        <v>1022</v>
      </c>
      <c r="L200" s="61">
        <f>IF($N$19="","",IF(C200="","",ROUND(K200/J200,2)))</f>
        <v>2.06</v>
      </c>
      <c r="M200" s="61">
        <f>IF(C200="","",VLOOKUP(A200,$B$200:$N$227,12,FALSE)+L200+N195)</f>
        <v>2.06</v>
      </c>
      <c r="N200" s="154">
        <f>+M200</f>
        <v>2.06</v>
      </c>
      <c r="U200" s="138">
        <f>+IF(C200="",0,C200)</f>
        <v>29</v>
      </c>
      <c r="V200" s="138">
        <f>IF(OR(C200="",G200=""),0,C200*G200)</f>
        <v>29</v>
      </c>
    </row>
    <row r="201" spans="1:22" ht="15" hidden="1">
      <c r="A201" s="167" t="s">
        <v>156</v>
      </c>
      <c r="B201" s="168" t="s">
        <v>215</v>
      </c>
      <c r="C201" s="169">
        <v>29</v>
      </c>
      <c r="D201" s="169">
        <v>8</v>
      </c>
      <c r="E201" s="170">
        <v>110</v>
      </c>
      <c r="F201" s="62">
        <f>IF($N$185="","",IF($N$185="INDUSTRIAL",IF(OR($D$183="",$D$189=""),"",IF(OR(D201&gt;$D$190,E201&gt;$D$191),"Rev. Total. abona.",IF(D201="",IF(E201="","",E201/(0.92*1000)),IF(OR($D$183="SAN CRISTOBAL",$D$183="FLOREANA"),VLOOKUP(D201,'Estratos SCY - FLO'!$A$4:$M$108,IF($D$189="A1",2,IF($D$189="A",5,IF($D$189="B",8,11))))+E201/(0.92*1000),VLOOKUP(D201,'Estratos SCX - ISA'!$A$3:$M$107,IF($D$189="A1",2,IF($D$189="A",5,IF($D$189="B",8,11))))+E201/(0.92*1000))))),IF(OR($D$183="",$D$189=""),"",IF(OR(D201&gt;$D$190,E201&gt;$D$191),"Rev. Total. abona.",IF(D201="",IF(E201="","",E201/(0.92*1000)),IF(OR($D$183="SAN CRISTOBAL",$D$183="FLOREANA"),VLOOKUP(D201,'Estratos SCY - FLO'!$O$4:$S$108,IF($D$189="A1",2,IF($D$189="A",3,IF($D$189="B",4,5))))+E201/(0.92*1000),VLOOKUP(D201,'Estratos SCX - ISA'!$O$4:$S$108,IF($D$189="A1",2,IF($D$189="A",3,IF($D$189="B",4,5))))+E201/(0.92*1000)))))))</f>
        <v>53.99216291349743</v>
      </c>
      <c r="G201" s="59">
        <f aca="true" t="shared" si="28" ref="G201:G227">IF(OR($N$10="",C201=""),"",IF($N$10="1F",1,3))</f>
        <v>1</v>
      </c>
      <c r="H201" s="183" t="s">
        <v>1</v>
      </c>
      <c r="I201" s="183" t="s">
        <v>1</v>
      </c>
      <c r="J201" s="59">
        <f>IF(OR(H201="",$D$10="",$N$10=""),"",IF($D$10="COBRE",VLOOKUP(CDV_PROY_BT!H201,FDV!$B$16:$E$24,IF(CDV_PROY_BT!$N$10="3F",3,4),FALSE),IF($D$10="ACS",VLOOKUP(CDV_PROY_BT!H201,FDV!$B$10:$E$15,IF(CDV_PROY_BT!$N$10="3F",3,4),FALSE),IF($D$10="5005 (PREENSAMBLADO)",VLOOKUP(CDV_PROY_BT!H201,FDV!$B$4:$E$9,IF(CDV_PROY_BT!$N$10="3F",3,4),FALSE),VLOOKUP(CDV_PROY_BT!H201,FDV!$B$25:$E$30,IF(CDV_PROY_BT!$N$10="3F",3,4),FALSE)))))</f>
        <v>495</v>
      </c>
      <c r="K201" s="63">
        <f t="shared" si="27"/>
        <v>1566</v>
      </c>
      <c r="L201" s="62">
        <f aca="true" t="shared" si="29" ref="L201:L226">IF($N$19="","",IF(C201="","",ROUND(K201/J201,2)))</f>
        <v>3.16</v>
      </c>
      <c r="M201" s="62">
        <f aca="true" t="shared" si="30" ref="M201:M226">IF(C201="","",VLOOKUP(A201,$B$200:$N$227,12,FALSE)+L201)</f>
        <v>3.16</v>
      </c>
      <c r="N201" s="155">
        <f>+M201</f>
        <v>3.16</v>
      </c>
      <c r="U201" s="138">
        <f aca="true" t="shared" si="31" ref="U201:U226">+IF(C201="",0,C201)</f>
        <v>29</v>
      </c>
      <c r="V201" s="138">
        <f aca="true" t="shared" si="32" ref="V201:V226">IF(OR(C201="",G201=""),0,C201*G201)</f>
        <v>29</v>
      </c>
    </row>
    <row r="202" spans="1:22" ht="15" hidden="1">
      <c r="A202" s="167"/>
      <c r="B202" s="168"/>
      <c r="C202" s="169"/>
      <c r="D202" s="169"/>
      <c r="E202" s="170"/>
      <c r="F202" s="58" t="str">
        <f>IF($N$185="","",IF($N$185="INDUSTRIAL",IF(OR($D$183="",$D$189=""),"",IF(OR(D202&gt;$D$190,E202&gt;$D$191),"Rev. Total. abona.",IF(D202="",IF(E202="","",E202/(0.92*1000)),IF(OR($D$183="SAN CRISTOBAL",$D$183="FLOREANA"),VLOOKUP(D202,'Estratos SCY - FLO'!$A$4:$M$108,IF($D$189="A1",2,IF($D$189="A",5,IF($D$189="B",8,11))))+E202/(0.92*1000),VLOOKUP(D202,'Estratos SCX - ISA'!$A$3:$M$107,IF($D$189="A1",2,IF($D$189="A",5,IF($D$189="B",8,11))))+E202/(0.92*1000))))),IF(OR($D$183="",$D$189=""),"",IF(OR(D202&gt;$D$190,E202&gt;$D$191),"Rev. Total. abona.",IF(D202="",IF(E202="","",E202/(0.92*1000)),IF(OR($D$183="SAN CRISTOBAL",$D$183="FLOREANA"),VLOOKUP(D202,'Estratos SCY - FLO'!$O$4:$S$108,IF($D$189="A1",2,IF($D$189="A",3,IF($D$189="B",4,5))))+E202/(0.92*1000),VLOOKUP(D202,'Estratos SCX - ISA'!$O$4:$S$108,IF($D$189="A1",2,IF($D$189="A",3,IF($D$189="B",4,5))))+E202/(0.92*1000)))))))</f>
        <v/>
      </c>
      <c r="G202" s="59" t="str">
        <f t="shared" si="28"/>
        <v/>
      </c>
      <c r="H202" s="183"/>
      <c r="I202" s="183"/>
      <c r="J202" s="59" t="str">
        <f>IF(OR(H202="",$D$10="",$N$10=""),"",IF($D$10="COBRE",VLOOKUP(CDV_PROY_BT!H202,FDV!$B$16:$E$24,IF(CDV_PROY_BT!$N$10="3F",3,4),FALSE),IF($D$10="ACS",VLOOKUP(CDV_PROY_BT!H202,FDV!$B$10:$E$15,IF(CDV_PROY_BT!$N$10="3F",3,4),FALSE),IF($D$10="5005 (PREENSAMBLADO)",VLOOKUP(CDV_PROY_BT!H202,FDV!$B$4:$E$9,IF(CDV_PROY_BT!$N$10="3F",3,4),FALSE),VLOOKUP(CDV_PROY_BT!H202,FDV!$B$25:$E$30,IF(CDV_PROY_BT!$N$10="3F",3,4),FALSE)))))</f>
        <v/>
      </c>
      <c r="K202" s="63" t="str">
        <f t="shared" si="27"/>
        <v/>
      </c>
      <c r="L202" s="62" t="str">
        <f t="shared" si="29"/>
        <v/>
      </c>
      <c r="M202" s="62" t="str">
        <f t="shared" si="30"/>
        <v/>
      </c>
      <c r="N202" s="155"/>
      <c r="U202" s="138">
        <f t="shared" si="31"/>
        <v>0</v>
      </c>
      <c r="V202" s="138">
        <f t="shared" si="32"/>
        <v>0</v>
      </c>
    </row>
    <row r="203" spans="1:22" ht="15" hidden="1">
      <c r="A203" s="167"/>
      <c r="B203" s="168"/>
      <c r="C203" s="169"/>
      <c r="D203" s="169"/>
      <c r="E203" s="170"/>
      <c r="F203" s="58" t="str">
        <f>IF($N$185="","",IF($N$185="INDUSTRIAL",IF(OR($D$183="",$D$189=""),"",IF(OR(D203&gt;$D$190,E203&gt;$D$191),"Rev. Total. abona.",IF(D203="",IF(E203="","",E203/(0.92*1000)),IF(OR($D$183="SAN CRISTOBAL",$D$183="FLOREANA"),VLOOKUP(D203,'Estratos SCY - FLO'!$A$4:$M$108,IF($D$189="A1",2,IF($D$189="A",5,IF($D$189="B",8,11))))+E203/(0.92*1000),VLOOKUP(D203,'Estratos SCX - ISA'!$A$3:$M$107,IF($D$189="A1",2,IF($D$189="A",5,IF($D$189="B",8,11))))+E203/(0.92*1000))))),IF(OR($D$183="",$D$189=""),"",IF(OR(D203&gt;$D$190,E203&gt;$D$191),"Rev. Total. abona.",IF(D203="",IF(E203="","",E203/(0.92*1000)),IF(OR($D$183="SAN CRISTOBAL",$D$183="FLOREANA"),VLOOKUP(D203,'Estratos SCY - FLO'!$O$4:$S$108,IF($D$189="A1",2,IF($D$189="A",3,IF($D$189="B",4,5))))+E203/(0.92*1000),VLOOKUP(D203,'Estratos SCX - ISA'!$O$4:$S$108,IF($D$189="A1",2,IF($D$189="A",3,IF($D$189="B",4,5))))+E203/(0.92*1000)))))))</f>
        <v/>
      </c>
      <c r="G203" s="59" t="str">
        <f t="shared" si="28"/>
        <v/>
      </c>
      <c r="H203" s="183"/>
      <c r="I203" s="183"/>
      <c r="J203" s="59" t="str">
        <f>IF(OR(H203="",$D$10="",$N$10=""),"",IF($D$10="COBRE",VLOOKUP(CDV_PROY_BT!H203,FDV!$B$16:$E$24,IF(CDV_PROY_BT!$N$10="3F",3,4),FALSE),IF($D$10="ACS",VLOOKUP(CDV_PROY_BT!H203,FDV!$B$10:$E$15,IF(CDV_PROY_BT!$N$10="3F",3,4),FALSE),IF($D$10="5005 (PREENSAMBLADO)",VLOOKUP(CDV_PROY_BT!H203,FDV!$B$4:$E$9,IF(CDV_PROY_BT!$N$10="3F",3,4),FALSE),VLOOKUP(CDV_PROY_BT!H203,FDV!$B$25:$E$30,IF(CDV_PROY_BT!$N$10="3F",3,4),FALSE)))))</f>
        <v/>
      </c>
      <c r="K203" s="63" t="str">
        <f t="shared" si="27"/>
        <v/>
      </c>
      <c r="L203" s="62" t="str">
        <f t="shared" si="29"/>
        <v/>
      </c>
      <c r="M203" s="62" t="str">
        <f t="shared" si="30"/>
        <v/>
      </c>
      <c r="N203" s="155"/>
      <c r="U203" s="138">
        <f t="shared" si="31"/>
        <v>0</v>
      </c>
      <c r="V203" s="138">
        <f t="shared" si="32"/>
        <v>0</v>
      </c>
    </row>
    <row r="204" spans="1:22" ht="15" hidden="1">
      <c r="A204" s="167"/>
      <c r="B204" s="168"/>
      <c r="C204" s="169"/>
      <c r="D204" s="169"/>
      <c r="E204" s="170"/>
      <c r="F204" s="58" t="str">
        <f>IF($N$185="","",IF($N$185="INDUSTRIAL",IF(OR($D$183="",$D$189=""),"",IF(OR(D204&gt;$D$190,E204&gt;$D$191),"Rev. Total. abona.",IF(D204="",IF(E204="","",E204/(0.92*1000)),IF(OR($D$183="SAN CRISTOBAL",$D$183="FLOREANA"),VLOOKUP(D204,'Estratos SCY - FLO'!$A$4:$M$108,IF($D$189="A1",2,IF($D$189="A",5,IF($D$189="B",8,11))))+E204/(0.92*1000),VLOOKUP(D204,'Estratos SCX - ISA'!$A$3:$M$107,IF($D$189="A1",2,IF($D$189="A",5,IF($D$189="B",8,11))))+E204/(0.92*1000))))),IF(OR($D$183="",$D$189=""),"",IF(OR(D204&gt;$D$190,E204&gt;$D$191),"Rev. Total. abona.",IF(D204="",IF(E204="","",E204/(0.92*1000)),IF(OR($D$183="SAN CRISTOBAL",$D$183="FLOREANA"),VLOOKUP(D204,'Estratos SCY - FLO'!$O$4:$S$108,IF($D$189="A1",2,IF($D$189="A",3,IF($D$189="B",4,5))))+E204/(0.92*1000),VLOOKUP(D204,'Estratos SCX - ISA'!$O$4:$S$108,IF($D$189="A1",2,IF($D$189="A",3,IF($D$189="B",4,5))))+E204/(0.92*1000)))))))</f>
        <v/>
      </c>
      <c r="G204" s="59" t="str">
        <f t="shared" si="28"/>
        <v/>
      </c>
      <c r="H204" s="183"/>
      <c r="I204" s="183"/>
      <c r="J204" s="59" t="str">
        <f>IF(OR(H204="",$D$10="",$N$10=""),"",IF($D$10="COBRE",VLOOKUP(CDV_PROY_BT!H204,FDV!$B$16:$E$24,IF(CDV_PROY_BT!$N$10="3F",3,4),FALSE),IF($D$10="ACS",VLOOKUP(CDV_PROY_BT!H204,FDV!$B$10:$E$15,IF(CDV_PROY_BT!$N$10="3F",3,4),FALSE),IF($D$10="5005 (PREENSAMBLADO)",VLOOKUP(CDV_PROY_BT!H204,FDV!$B$4:$E$9,IF(CDV_PROY_BT!$N$10="3F",3,4),FALSE),VLOOKUP(CDV_PROY_BT!H204,FDV!$B$25:$E$30,IF(CDV_PROY_BT!$N$10="3F",3,4),FALSE)))))</f>
        <v/>
      </c>
      <c r="K204" s="63" t="str">
        <f t="shared" si="27"/>
        <v/>
      </c>
      <c r="L204" s="62" t="str">
        <f t="shared" si="29"/>
        <v/>
      </c>
      <c r="M204" s="62" t="str">
        <f t="shared" si="30"/>
        <v/>
      </c>
      <c r="N204" s="155"/>
      <c r="U204" s="138">
        <f t="shared" si="31"/>
        <v>0</v>
      </c>
      <c r="V204" s="138">
        <f t="shared" si="32"/>
        <v>0</v>
      </c>
    </row>
    <row r="205" spans="1:22" ht="15" hidden="1">
      <c r="A205" s="167"/>
      <c r="B205" s="168"/>
      <c r="C205" s="169"/>
      <c r="D205" s="169"/>
      <c r="E205" s="170"/>
      <c r="F205" s="58" t="str">
        <f>IF($N$185="","",IF($N$185="INDUSTRIAL",IF(OR($D$183="",$D$189=""),"",IF(OR(D205&gt;$D$190,E205&gt;$D$191),"Rev. Total. abona.",IF(D205="",IF(E205="","",E205/(0.92*1000)),IF(OR($D$183="SAN CRISTOBAL",$D$183="FLOREANA"),VLOOKUP(D205,'Estratos SCY - FLO'!$A$4:$M$108,IF($D$189="A1",2,IF($D$189="A",5,IF($D$189="B",8,11))))+E205/(0.92*1000),VLOOKUP(D205,'Estratos SCX - ISA'!$A$3:$M$107,IF($D$189="A1",2,IF($D$189="A",5,IF($D$189="B",8,11))))+E205/(0.92*1000))))),IF(OR($D$183="",$D$189=""),"",IF(OR(D205&gt;$D$190,E205&gt;$D$191),"Rev. Total. abona.",IF(D205="",IF(E205="","",E205/(0.92*1000)),IF(OR($D$183="SAN CRISTOBAL",$D$183="FLOREANA"),VLOOKUP(D205,'Estratos SCY - FLO'!$O$4:$S$108,IF($D$189="A1",2,IF($D$189="A",3,IF($D$189="B",4,5))))+E205/(0.92*1000),VLOOKUP(D205,'Estratos SCX - ISA'!$O$4:$S$108,IF($D$189="A1",2,IF($D$189="A",3,IF($D$189="B",4,5))))+E205/(0.92*1000)))))))</f>
        <v/>
      </c>
      <c r="G205" s="59" t="str">
        <f t="shared" si="28"/>
        <v/>
      </c>
      <c r="H205" s="183"/>
      <c r="I205" s="183"/>
      <c r="J205" s="59" t="str">
        <f>IF(OR(H205="",$D$10="",$N$10=""),"",IF($D$10="COBRE",VLOOKUP(CDV_PROY_BT!H205,FDV!$B$16:$E$24,IF(CDV_PROY_BT!$N$10="3F",3,4),FALSE),IF($D$10="ACS",VLOOKUP(CDV_PROY_BT!H205,FDV!$B$10:$E$15,IF(CDV_PROY_BT!$N$10="3F",3,4),FALSE),IF($D$10="5005 (PREENSAMBLADO)",VLOOKUP(CDV_PROY_BT!H205,FDV!$B$4:$E$9,IF(CDV_PROY_BT!$N$10="3F",3,4),FALSE),VLOOKUP(CDV_PROY_BT!H205,FDV!$B$25:$E$30,IF(CDV_PROY_BT!$N$10="3F",3,4),FALSE)))))</f>
        <v/>
      </c>
      <c r="K205" s="63" t="str">
        <f t="shared" si="27"/>
        <v/>
      </c>
      <c r="L205" s="62" t="str">
        <f t="shared" si="29"/>
        <v/>
      </c>
      <c r="M205" s="62" t="str">
        <f t="shared" si="30"/>
        <v/>
      </c>
      <c r="N205" s="155"/>
      <c r="U205" s="138">
        <f t="shared" si="31"/>
        <v>0</v>
      </c>
      <c r="V205" s="138">
        <f t="shared" si="32"/>
        <v>0</v>
      </c>
    </row>
    <row r="206" spans="1:22" ht="15" hidden="1">
      <c r="A206" s="167"/>
      <c r="B206" s="168"/>
      <c r="C206" s="169"/>
      <c r="D206" s="169"/>
      <c r="E206" s="170"/>
      <c r="F206" s="58" t="str">
        <f>IF($N$185="","",IF($N$185="INDUSTRIAL",IF(OR($D$183="",$D$189=""),"",IF(OR(D206&gt;$D$190,E206&gt;$D$191),"Rev. Total. abona.",IF(D206="",IF(E206="","",E206/(0.92*1000)),IF(OR($D$183="SAN CRISTOBAL",$D$183="FLOREANA"),VLOOKUP(D206,'Estratos SCY - FLO'!$A$4:$M$108,IF($D$189="A1",2,IF($D$189="A",5,IF($D$189="B",8,11))))+E206/(0.92*1000),VLOOKUP(D206,'Estratos SCX - ISA'!$A$3:$M$107,IF($D$189="A1",2,IF($D$189="A",5,IF($D$189="B",8,11))))+E206/(0.92*1000))))),IF(OR($D$183="",$D$189=""),"",IF(OR(D206&gt;$D$190,E206&gt;$D$191),"Rev. Total. abona.",IF(D206="",IF(E206="","",E206/(0.92*1000)),IF(OR($D$183="SAN CRISTOBAL",$D$183="FLOREANA"),VLOOKUP(D206,'Estratos SCY - FLO'!$O$4:$S$108,IF($D$189="A1",2,IF($D$189="A",3,IF($D$189="B",4,5))))+E206/(0.92*1000),VLOOKUP(D206,'Estratos SCX - ISA'!$O$4:$S$108,IF($D$189="A1",2,IF($D$189="A",3,IF($D$189="B",4,5))))+E206/(0.92*1000)))))))</f>
        <v/>
      </c>
      <c r="G206" s="59" t="str">
        <f t="shared" si="28"/>
        <v/>
      </c>
      <c r="H206" s="183"/>
      <c r="I206" s="183"/>
      <c r="J206" s="59" t="str">
        <f>IF(OR(H206="",$D$10="",$N$10=""),"",IF($D$10="COBRE",VLOOKUP(CDV_PROY_BT!H206,FDV!$B$16:$E$24,IF(CDV_PROY_BT!$N$10="3F",3,4),FALSE),IF($D$10="ACS",VLOOKUP(CDV_PROY_BT!H206,FDV!$B$10:$E$15,IF(CDV_PROY_BT!$N$10="3F",3,4),FALSE),IF($D$10="5005 (PREENSAMBLADO)",VLOOKUP(CDV_PROY_BT!H206,FDV!$B$4:$E$9,IF(CDV_PROY_BT!$N$10="3F",3,4),FALSE),VLOOKUP(CDV_PROY_BT!H206,FDV!$B$25:$E$30,IF(CDV_PROY_BT!$N$10="3F",3,4),FALSE)))))</f>
        <v/>
      </c>
      <c r="K206" s="63" t="str">
        <f t="shared" si="27"/>
        <v/>
      </c>
      <c r="L206" s="62" t="str">
        <f t="shared" si="29"/>
        <v/>
      </c>
      <c r="M206" s="62" t="str">
        <f t="shared" si="30"/>
        <v/>
      </c>
      <c r="N206" s="155"/>
      <c r="U206" s="138">
        <f t="shared" si="31"/>
        <v>0</v>
      </c>
      <c r="V206" s="138">
        <f t="shared" si="32"/>
        <v>0</v>
      </c>
    </row>
    <row r="207" spans="1:22" ht="15" hidden="1">
      <c r="A207" s="167"/>
      <c r="B207" s="168"/>
      <c r="C207" s="169"/>
      <c r="D207" s="169"/>
      <c r="E207" s="170"/>
      <c r="F207" s="58" t="str">
        <f>IF($N$185="","",IF($N$185="INDUSTRIAL",IF(OR($D$183="",$D$189=""),"",IF(OR(D207&gt;$D$190,E207&gt;$D$191),"Rev. Total. abona.",IF(D207="",IF(E207="","",E207/(0.92*1000)),IF(OR($D$183="SAN CRISTOBAL",$D$183="FLOREANA"),VLOOKUP(D207,'Estratos SCY - FLO'!$A$4:$M$108,IF($D$189="A1",2,IF($D$189="A",5,IF($D$189="B",8,11))))+E207/(0.92*1000),VLOOKUP(D207,'Estratos SCX - ISA'!$A$3:$M$107,IF($D$189="A1",2,IF($D$189="A",5,IF($D$189="B",8,11))))+E207/(0.92*1000))))),IF(OR($D$183="",$D$189=""),"",IF(OR(D207&gt;$D$190,E207&gt;$D$191),"Rev. Total. abona.",IF(D207="",IF(E207="","",E207/(0.92*1000)),IF(OR($D$183="SAN CRISTOBAL",$D$183="FLOREANA"),VLOOKUP(D207,'Estratos SCY - FLO'!$O$4:$S$108,IF($D$189="A1",2,IF($D$189="A",3,IF($D$189="B",4,5))))+E207/(0.92*1000),VLOOKUP(D207,'Estratos SCX - ISA'!$O$4:$S$108,IF($D$189="A1",2,IF($D$189="A",3,IF($D$189="B",4,5))))+E207/(0.92*1000)))))))</f>
        <v/>
      </c>
      <c r="G207" s="59" t="str">
        <f t="shared" si="28"/>
        <v/>
      </c>
      <c r="H207" s="183"/>
      <c r="I207" s="183"/>
      <c r="J207" s="59" t="str">
        <f>IF(OR(H207="",$D$10="",$N$10=""),"",IF($D$10="COBRE",VLOOKUP(CDV_PROY_BT!H207,FDV!$B$16:$E$24,IF(CDV_PROY_BT!$N$10="3F",3,4),FALSE),IF($D$10="ACS",VLOOKUP(CDV_PROY_BT!H207,FDV!$B$10:$E$15,IF(CDV_PROY_BT!$N$10="3F",3,4),FALSE),IF($D$10="5005 (PREENSAMBLADO)",VLOOKUP(CDV_PROY_BT!H207,FDV!$B$4:$E$9,IF(CDV_PROY_BT!$N$10="3F",3,4),FALSE),VLOOKUP(CDV_PROY_BT!H207,FDV!$B$25:$E$30,IF(CDV_PROY_BT!$N$10="3F",3,4),FALSE)))))</f>
        <v/>
      </c>
      <c r="K207" s="63" t="str">
        <f t="shared" si="27"/>
        <v/>
      </c>
      <c r="L207" s="62" t="str">
        <f t="shared" si="29"/>
        <v/>
      </c>
      <c r="M207" s="62" t="str">
        <f t="shared" si="30"/>
        <v/>
      </c>
      <c r="N207" s="155"/>
      <c r="U207" s="138">
        <f t="shared" si="31"/>
        <v>0</v>
      </c>
      <c r="V207" s="138">
        <f t="shared" si="32"/>
        <v>0</v>
      </c>
    </row>
    <row r="208" spans="1:22" ht="15" hidden="1">
      <c r="A208" s="171"/>
      <c r="B208" s="172"/>
      <c r="C208" s="173"/>
      <c r="D208" s="173"/>
      <c r="E208" s="170"/>
      <c r="F208" s="58" t="str">
        <f>IF($N$185="","",IF($N$185="INDUSTRIAL",IF(OR($D$183="",$D$189=""),"",IF(OR(D208&gt;$D$190,E208&gt;$D$191),"Rev. Total. abona.",IF(D208="",IF(E208="","",E208/(0.92*1000)),IF(OR($D$183="SAN CRISTOBAL",$D$183="FLOREANA"),VLOOKUP(D208,'Estratos SCY - FLO'!$A$4:$M$108,IF($D$189="A1",2,IF($D$189="A",5,IF($D$189="B",8,11))))+E208/(0.92*1000),VLOOKUP(D208,'Estratos SCX - ISA'!$A$3:$M$107,IF($D$189="A1",2,IF($D$189="A",5,IF($D$189="B",8,11))))+E208/(0.92*1000))))),IF(OR($D$183="",$D$189=""),"",IF(OR(D208&gt;$D$190,E208&gt;$D$191),"Rev. Total. abona.",IF(D208="",IF(E208="","",E208/(0.92*1000)),IF(OR($D$183="SAN CRISTOBAL",$D$183="FLOREANA"),VLOOKUP(D208,'Estratos SCY - FLO'!$O$4:$S$108,IF($D$189="A1",2,IF($D$189="A",3,IF($D$189="B",4,5))))+E208/(0.92*1000),VLOOKUP(D208,'Estratos SCX - ISA'!$O$4:$S$108,IF($D$189="A1",2,IF($D$189="A",3,IF($D$189="B",4,5))))+E208/(0.92*1000)))))))</f>
        <v/>
      </c>
      <c r="G208" s="59" t="str">
        <f t="shared" si="28"/>
        <v/>
      </c>
      <c r="H208" s="183"/>
      <c r="I208" s="183"/>
      <c r="J208" s="59" t="str">
        <f>IF(OR(H208="",$D$10="",$N$10=""),"",IF($D$10="COBRE",VLOOKUP(CDV_PROY_BT!H208,FDV!$B$16:$E$24,IF(CDV_PROY_BT!$N$10="3F",3,4),FALSE),IF($D$10="ACS",VLOOKUP(CDV_PROY_BT!H208,FDV!$B$10:$E$15,IF(CDV_PROY_BT!$N$10="3F",3,4),FALSE),IF($D$10="5005 (PREENSAMBLADO)",VLOOKUP(CDV_PROY_BT!H208,FDV!$B$4:$E$9,IF(CDV_PROY_BT!$N$10="3F",3,4),FALSE),VLOOKUP(CDV_PROY_BT!H208,FDV!$B$25:$E$30,IF(CDV_PROY_BT!$N$10="3F",3,4),FALSE)))))</f>
        <v/>
      </c>
      <c r="K208" s="63" t="str">
        <f t="shared" si="27"/>
        <v/>
      </c>
      <c r="L208" s="62" t="str">
        <f t="shared" si="29"/>
        <v/>
      </c>
      <c r="M208" s="62" t="str">
        <f t="shared" si="30"/>
        <v/>
      </c>
      <c r="N208" s="155"/>
      <c r="U208" s="138">
        <f t="shared" si="31"/>
        <v>0</v>
      </c>
      <c r="V208" s="138">
        <f t="shared" si="32"/>
        <v>0</v>
      </c>
    </row>
    <row r="209" spans="1:22" ht="15" hidden="1">
      <c r="A209" s="167"/>
      <c r="B209" s="168"/>
      <c r="C209" s="169"/>
      <c r="D209" s="169"/>
      <c r="E209" s="174"/>
      <c r="F209" s="58" t="str">
        <f>IF($N$185="","",IF($N$185="INDUSTRIAL",IF(OR($D$183="",$D$189=""),"",IF(OR(D209&gt;$D$190,E209&gt;$D$191),"Rev. Total. abona.",IF(D209="",IF(E209="","",E209/(0.92*1000)),IF(OR($D$183="SAN CRISTOBAL",$D$183="FLOREANA"),VLOOKUP(D209,'Estratos SCY - FLO'!$A$4:$M$108,IF($D$189="A1",2,IF($D$189="A",5,IF($D$189="B",8,11))))+E209/(0.92*1000),VLOOKUP(D209,'Estratos SCX - ISA'!$A$3:$M$107,IF($D$189="A1",2,IF($D$189="A",5,IF($D$189="B",8,11))))+E209/(0.92*1000))))),IF(OR($D$183="",$D$189=""),"",IF(OR(D209&gt;$D$190,E209&gt;$D$191),"Rev. Total. abona.",IF(D209="",IF(E209="","",E209/(0.92*1000)),IF(OR($D$183="SAN CRISTOBAL",$D$183="FLOREANA"),VLOOKUP(D209,'Estratos SCY - FLO'!$O$4:$S$108,IF($D$189="A1",2,IF($D$189="A",3,IF($D$189="B",4,5))))+E209/(0.92*1000),VLOOKUP(D209,'Estratos SCX - ISA'!$O$4:$S$108,IF($D$189="A1",2,IF($D$189="A",3,IF($D$189="B",4,5))))+E209/(0.92*1000)))))))</f>
        <v/>
      </c>
      <c r="G209" s="59" t="str">
        <f t="shared" si="28"/>
        <v/>
      </c>
      <c r="H209" s="183"/>
      <c r="I209" s="183"/>
      <c r="J209" s="59" t="str">
        <f>IF(OR(H209="",$D$10="",$N$10=""),"",IF($D$10="COBRE",VLOOKUP(CDV_PROY_BT!H209,FDV!$B$16:$E$24,IF(CDV_PROY_BT!$N$10="3F",3,4),FALSE),IF($D$10="ACS",VLOOKUP(CDV_PROY_BT!H209,FDV!$B$10:$E$15,IF(CDV_PROY_BT!$N$10="3F",3,4),FALSE),IF($D$10="5005 (PREENSAMBLADO)",VLOOKUP(CDV_PROY_BT!H209,FDV!$B$4:$E$9,IF(CDV_PROY_BT!$N$10="3F",3,4),FALSE),VLOOKUP(CDV_PROY_BT!H209,FDV!$B$25:$E$30,IF(CDV_PROY_BT!$N$10="3F",3,4),FALSE)))))</f>
        <v/>
      </c>
      <c r="K209" s="63" t="str">
        <f t="shared" si="27"/>
        <v/>
      </c>
      <c r="L209" s="62" t="str">
        <f t="shared" si="29"/>
        <v/>
      </c>
      <c r="M209" s="62" t="str">
        <f t="shared" si="30"/>
        <v/>
      </c>
      <c r="N209" s="155"/>
      <c r="U209" s="138">
        <f t="shared" si="31"/>
        <v>0</v>
      </c>
      <c r="V209" s="138">
        <f t="shared" si="32"/>
        <v>0</v>
      </c>
    </row>
    <row r="210" spans="1:22" ht="15" hidden="1">
      <c r="A210" s="175"/>
      <c r="B210" s="176"/>
      <c r="C210" s="177"/>
      <c r="D210" s="177"/>
      <c r="E210" s="170"/>
      <c r="F210" s="58" t="str">
        <f>IF($N$185="","",IF($N$185="INDUSTRIAL",IF(OR($D$183="",$D$189=""),"",IF(OR(D210&gt;$D$190,E210&gt;$D$191),"Rev. Total. abona.",IF(D210="",IF(E210="","",E210/(0.92*1000)),IF(OR($D$183="SAN CRISTOBAL",$D$183="FLOREANA"),VLOOKUP(D210,'Estratos SCY - FLO'!$A$4:$M$108,IF($D$189="A1",2,IF($D$189="A",5,IF($D$189="B",8,11))))+E210/(0.92*1000),VLOOKUP(D210,'Estratos SCX - ISA'!$A$3:$M$107,IF($D$189="A1",2,IF($D$189="A",5,IF($D$189="B",8,11))))+E210/(0.92*1000))))),IF(OR($D$183="",$D$189=""),"",IF(OR(D210&gt;$D$190,E210&gt;$D$191),"Rev. Total. abona.",IF(D210="",IF(E210="","",E210/(0.92*1000)),IF(OR($D$183="SAN CRISTOBAL",$D$183="FLOREANA"),VLOOKUP(D210,'Estratos SCY - FLO'!$O$4:$S$108,IF($D$189="A1",2,IF($D$189="A",3,IF($D$189="B",4,5))))+E210/(0.92*1000),VLOOKUP(D210,'Estratos SCX - ISA'!$O$4:$S$108,IF($D$189="A1",2,IF($D$189="A",3,IF($D$189="B",4,5))))+E210/(0.92*1000)))))))</f>
        <v/>
      </c>
      <c r="G210" s="59" t="str">
        <f t="shared" si="28"/>
        <v/>
      </c>
      <c r="H210" s="183"/>
      <c r="I210" s="183"/>
      <c r="J210" s="59" t="str">
        <f>IF(OR(H210="",$D$10="",$N$10=""),"",IF($D$10="COBRE",VLOOKUP(CDV_PROY_BT!H210,FDV!$B$16:$E$24,IF(CDV_PROY_BT!$N$10="3F",3,4),FALSE),IF($D$10="ACS",VLOOKUP(CDV_PROY_BT!H210,FDV!$B$10:$E$15,IF(CDV_PROY_BT!$N$10="3F",3,4),FALSE),IF($D$10="5005 (PREENSAMBLADO)",VLOOKUP(CDV_PROY_BT!H210,FDV!$B$4:$E$9,IF(CDV_PROY_BT!$N$10="3F",3,4),FALSE),VLOOKUP(CDV_PROY_BT!H210,FDV!$B$25:$E$30,IF(CDV_PROY_BT!$N$10="3F",3,4),FALSE)))))</f>
        <v/>
      </c>
      <c r="K210" s="63" t="str">
        <f t="shared" si="27"/>
        <v/>
      </c>
      <c r="L210" s="62" t="str">
        <f t="shared" si="29"/>
        <v/>
      </c>
      <c r="M210" s="62" t="str">
        <f t="shared" si="30"/>
        <v/>
      </c>
      <c r="N210" s="155"/>
      <c r="U210" s="138">
        <f t="shared" si="31"/>
        <v>0</v>
      </c>
      <c r="V210" s="138">
        <f t="shared" si="32"/>
        <v>0</v>
      </c>
    </row>
    <row r="211" spans="1:22" ht="15" hidden="1">
      <c r="A211" s="167"/>
      <c r="B211" s="168"/>
      <c r="C211" s="169"/>
      <c r="D211" s="169"/>
      <c r="E211" s="170"/>
      <c r="F211" s="58" t="str">
        <f>IF($N$185="","",IF($N$185="INDUSTRIAL",IF(OR($D$183="",$D$189=""),"",IF(OR(D211&gt;$D$190,E211&gt;$D$191),"Rev. Total. abona.",IF(D211="",IF(E211="","",E211/(0.92*1000)),IF(OR($D$183="SAN CRISTOBAL",$D$183="FLOREANA"),VLOOKUP(D211,'Estratos SCY - FLO'!$A$4:$M$108,IF($D$189="A1",2,IF($D$189="A",5,IF($D$189="B",8,11))))+E211/(0.92*1000),VLOOKUP(D211,'Estratos SCX - ISA'!$A$3:$M$107,IF($D$189="A1",2,IF($D$189="A",5,IF($D$189="B",8,11))))+E211/(0.92*1000))))),IF(OR($D$183="",$D$189=""),"",IF(OR(D211&gt;$D$190,E211&gt;$D$191),"Rev. Total. abona.",IF(D211="",IF(E211="","",E211/(0.92*1000)),IF(OR($D$183="SAN CRISTOBAL",$D$183="FLOREANA"),VLOOKUP(D211,'Estratos SCY - FLO'!$O$4:$S$108,IF($D$189="A1",2,IF($D$189="A",3,IF($D$189="B",4,5))))+E211/(0.92*1000),VLOOKUP(D211,'Estratos SCX - ISA'!$O$4:$S$108,IF($D$189="A1",2,IF($D$189="A",3,IF($D$189="B",4,5))))+E211/(0.92*1000)))))))</f>
        <v/>
      </c>
      <c r="G211" s="59" t="str">
        <f t="shared" si="28"/>
        <v/>
      </c>
      <c r="H211" s="183"/>
      <c r="I211" s="183"/>
      <c r="J211" s="59" t="str">
        <f>IF(OR(H211="",$D$10="",$N$10=""),"",IF($D$10="COBRE",VLOOKUP(CDV_PROY_BT!H211,FDV!$B$16:$E$24,IF(CDV_PROY_BT!$N$10="3F",3,4),FALSE),IF($D$10="ACS",VLOOKUP(CDV_PROY_BT!H211,FDV!$B$10:$E$15,IF(CDV_PROY_BT!$N$10="3F",3,4),FALSE),IF($D$10="5005 (PREENSAMBLADO)",VLOOKUP(CDV_PROY_BT!H211,FDV!$B$4:$E$9,IF(CDV_PROY_BT!$N$10="3F",3,4),FALSE),VLOOKUP(CDV_PROY_BT!H211,FDV!$B$25:$E$30,IF(CDV_PROY_BT!$N$10="3F",3,4),FALSE)))))</f>
        <v/>
      </c>
      <c r="K211" s="63" t="str">
        <f t="shared" si="27"/>
        <v/>
      </c>
      <c r="L211" s="62" t="str">
        <f t="shared" si="29"/>
        <v/>
      </c>
      <c r="M211" s="62" t="str">
        <f t="shared" si="30"/>
        <v/>
      </c>
      <c r="N211" s="155"/>
      <c r="U211" s="138">
        <f t="shared" si="31"/>
        <v>0</v>
      </c>
      <c r="V211" s="138">
        <f t="shared" si="32"/>
        <v>0</v>
      </c>
    </row>
    <row r="212" spans="1:22" ht="15" hidden="1">
      <c r="A212" s="167"/>
      <c r="B212" s="168"/>
      <c r="C212" s="169"/>
      <c r="D212" s="169"/>
      <c r="E212" s="170"/>
      <c r="F212" s="58" t="str">
        <f>IF($N$185="","",IF($N$185="INDUSTRIAL",IF(OR($D$183="",$D$189=""),"",IF(OR(D212&gt;$D$190,E212&gt;$D$191),"Rev. Total. abona.",IF(D212="",IF(E212="","",E212/(0.92*1000)),IF(OR($D$183="SAN CRISTOBAL",$D$183="FLOREANA"),VLOOKUP(D212,'Estratos SCY - FLO'!$A$4:$M$108,IF($D$189="A1",2,IF($D$189="A",5,IF($D$189="B",8,11))))+E212/(0.92*1000),VLOOKUP(D212,'Estratos SCX - ISA'!$A$3:$M$107,IF($D$189="A1",2,IF($D$189="A",5,IF($D$189="B",8,11))))+E212/(0.92*1000))))),IF(OR($D$183="",$D$189=""),"",IF(OR(D212&gt;$D$190,E212&gt;$D$191),"Rev. Total. abona.",IF(D212="",IF(E212="","",E212/(0.92*1000)),IF(OR($D$183="SAN CRISTOBAL",$D$183="FLOREANA"),VLOOKUP(D212,'Estratos SCY - FLO'!$O$4:$S$108,IF($D$189="A1",2,IF($D$189="A",3,IF($D$189="B",4,5))))+E212/(0.92*1000),VLOOKUP(D212,'Estratos SCX - ISA'!$O$4:$S$108,IF($D$189="A1",2,IF($D$189="A",3,IF($D$189="B",4,5))))+E212/(0.92*1000)))))))</f>
        <v/>
      </c>
      <c r="G212" s="59" t="str">
        <f t="shared" si="28"/>
        <v/>
      </c>
      <c r="H212" s="183"/>
      <c r="I212" s="183"/>
      <c r="J212" s="59" t="str">
        <f>IF(OR(H212="",$D$10="",$N$10=""),"",IF($D$10="COBRE",VLOOKUP(CDV_PROY_BT!H212,FDV!$B$16:$E$24,IF(CDV_PROY_BT!$N$10="3F",3,4),FALSE),IF($D$10="ACS",VLOOKUP(CDV_PROY_BT!H212,FDV!$B$10:$E$15,IF(CDV_PROY_BT!$N$10="3F",3,4),FALSE),IF($D$10="5005 (PREENSAMBLADO)",VLOOKUP(CDV_PROY_BT!H212,FDV!$B$4:$E$9,IF(CDV_PROY_BT!$N$10="3F",3,4),FALSE),VLOOKUP(CDV_PROY_BT!H212,FDV!$B$25:$E$30,IF(CDV_PROY_BT!$N$10="3F",3,4),FALSE)))))</f>
        <v/>
      </c>
      <c r="K212" s="63" t="str">
        <f t="shared" si="27"/>
        <v/>
      </c>
      <c r="L212" s="62" t="str">
        <f t="shared" si="29"/>
        <v/>
      </c>
      <c r="M212" s="62" t="str">
        <f t="shared" si="30"/>
        <v/>
      </c>
      <c r="N212" s="155"/>
      <c r="U212" s="138">
        <f t="shared" si="31"/>
        <v>0</v>
      </c>
      <c r="V212" s="138">
        <f t="shared" si="32"/>
        <v>0</v>
      </c>
    </row>
    <row r="213" spans="1:22" ht="15" hidden="1">
      <c r="A213" s="167"/>
      <c r="B213" s="168"/>
      <c r="C213" s="169"/>
      <c r="D213" s="169"/>
      <c r="E213" s="170"/>
      <c r="F213" s="58" t="str">
        <f>IF($N$185="","",IF($N$185="INDUSTRIAL",IF(OR($D$183="",$D$189=""),"",IF(OR(D213&gt;$D$190,E213&gt;$D$191),"Rev. Total. abona.",IF(D213="",IF(E213="","",E213/(0.92*1000)),IF(OR($D$183="SAN CRISTOBAL",$D$183="FLOREANA"),VLOOKUP(D213,'Estratos SCY - FLO'!$A$4:$M$108,IF($D$189="A1",2,IF($D$189="A",5,IF($D$189="B",8,11))))+E213/(0.92*1000),VLOOKUP(D213,'Estratos SCX - ISA'!$A$3:$M$107,IF($D$189="A1",2,IF($D$189="A",5,IF($D$189="B",8,11))))+E213/(0.92*1000))))),IF(OR($D$183="",$D$189=""),"",IF(OR(D213&gt;$D$190,E213&gt;$D$191),"Rev. Total. abona.",IF(D213="",IF(E213="","",E213/(0.92*1000)),IF(OR($D$183="SAN CRISTOBAL",$D$183="FLOREANA"),VLOOKUP(D213,'Estratos SCY - FLO'!$O$4:$S$108,IF($D$189="A1",2,IF($D$189="A",3,IF($D$189="B",4,5))))+E213/(0.92*1000),VLOOKUP(D213,'Estratos SCX - ISA'!$O$4:$S$108,IF($D$189="A1",2,IF($D$189="A",3,IF($D$189="B",4,5))))+E213/(0.92*1000)))))))</f>
        <v/>
      </c>
      <c r="G213" s="59" t="str">
        <f t="shared" si="28"/>
        <v/>
      </c>
      <c r="H213" s="183"/>
      <c r="I213" s="183"/>
      <c r="J213" s="59" t="str">
        <f>IF(OR(H213="",$D$10="",$N$10=""),"",IF($D$10="COBRE",VLOOKUP(CDV_PROY_BT!H213,FDV!$B$16:$E$24,IF(CDV_PROY_BT!$N$10="3F",3,4),FALSE),IF($D$10="ACS",VLOOKUP(CDV_PROY_BT!H213,FDV!$B$10:$E$15,IF(CDV_PROY_BT!$N$10="3F",3,4),FALSE),IF($D$10="5005 (PREENSAMBLADO)",VLOOKUP(CDV_PROY_BT!H213,FDV!$B$4:$E$9,IF(CDV_PROY_BT!$N$10="3F",3,4),FALSE),VLOOKUP(CDV_PROY_BT!H213,FDV!$B$25:$E$30,IF(CDV_PROY_BT!$N$10="3F",3,4),FALSE)))))</f>
        <v/>
      </c>
      <c r="K213" s="63" t="str">
        <f t="shared" si="27"/>
        <v/>
      </c>
      <c r="L213" s="62" t="str">
        <f t="shared" si="29"/>
        <v/>
      </c>
      <c r="M213" s="62" t="str">
        <f t="shared" si="30"/>
        <v/>
      </c>
      <c r="N213" s="155"/>
      <c r="U213" s="138">
        <f t="shared" si="31"/>
        <v>0</v>
      </c>
      <c r="V213" s="138">
        <f t="shared" si="32"/>
        <v>0</v>
      </c>
    </row>
    <row r="214" spans="1:22" ht="15" hidden="1">
      <c r="A214" s="167"/>
      <c r="B214" s="168"/>
      <c r="C214" s="169"/>
      <c r="D214" s="169"/>
      <c r="E214" s="170"/>
      <c r="F214" s="58" t="str">
        <f>IF($N$185="","",IF($N$185="INDUSTRIAL",IF(OR($D$183="",$D$189=""),"",IF(OR(D214&gt;$D$190,E214&gt;$D$191),"Rev. Total. abona.",IF(D214="",IF(E214="","",E214/(0.92*1000)),IF(OR($D$183="SAN CRISTOBAL",$D$183="FLOREANA"),VLOOKUP(D214,'Estratos SCY - FLO'!$A$4:$M$108,IF($D$189="A1",2,IF($D$189="A",5,IF($D$189="B",8,11))))+E214/(0.92*1000),VLOOKUP(D214,'Estratos SCX - ISA'!$A$3:$M$107,IF($D$189="A1",2,IF($D$189="A",5,IF($D$189="B",8,11))))+E214/(0.92*1000))))),IF(OR($D$183="",$D$189=""),"",IF(OR(D214&gt;$D$190,E214&gt;$D$191),"Rev. Total. abona.",IF(D214="",IF(E214="","",E214/(0.92*1000)),IF(OR($D$183="SAN CRISTOBAL",$D$183="FLOREANA"),VLOOKUP(D214,'Estratos SCY - FLO'!$O$4:$S$108,IF($D$189="A1",2,IF($D$189="A",3,IF($D$189="B",4,5))))+E214/(0.92*1000),VLOOKUP(D214,'Estratos SCX - ISA'!$O$4:$S$108,IF($D$189="A1",2,IF($D$189="A",3,IF($D$189="B",4,5))))+E214/(0.92*1000)))))))</f>
        <v/>
      </c>
      <c r="G214" s="59" t="str">
        <f t="shared" si="28"/>
        <v/>
      </c>
      <c r="H214" s="183"/>
      <c r="I214" s="183"/>
      <c r="J214" s="59" t="str">
        <f>IF(OR(H214="",$D$10="",$N$10=""),"",IF($D$10="COBRE",VLOOKUP(CDV_PROY_BT!H214,FDV!$B$16:$E$24,IF(CDV_PROY_BT!$N$10="3F",3,4),FALSE),IF($D$10="ACS",VLOOKUP(CDV_PROY_BT!H214,FDV!$B$10:$E$15,IF(CDV_PROY_BT!$N$10="3F",3,4),FALSE),IF($D$10="5005 (PREENSAMBLADO)",VLOOKUP(CDV_PROY_BT!H214,FDV!$B$4:$E$9,IF(CDV_PROY_BT!$N$10="3F",3,4),FALSE),VLOOKUP(CDV_PROY_BT!H214,FDV!$B$25:$E$30,IF(CDV_PROY_BT!$N$10="3F",3,4),FALSE)))))</f>
        <v/>
      </c>
      <c r="K214" s="63" t="str">
        <f t="shared" si="27"/>
        <v/>
      </c>
      <c r="L214" s="62" t="str">
        <f t="shared" si="29"/>
        <v/>
      </c>
      <c r="M214" s="62" t="str">
        <f t="shared" si="30"/>
        <v/>
      </c>
      <c r="N214" s="155"/>
      <c r="U214" s="138">
        <f t="shared" si="31"/>
        <v>0</v>
      </c>
      <c r="V214" s="138">
        <f t="shared" si="32"/>
        <v>0</v>
      </c>
    </row>
    <row r="215" spans="1:22" ht="15" hidden="1">
      <c r="A215" s="167"/>
      <c r="B215" s="168"/>
      <c r="C215" s="169"/>
      <c r="D215" s="169"/>
      <c r="E215" s="170"/>
      <c r="F215" s="58" t="str">
        <f>IF($N$185="","",IF($N$185="INDUSTRIAL",IF(OR($D$183="",$D$189=""),"",IF(OR(D215&gt;$D$190,E215&gt;$D$191),"Rev. Total. abona.",IF(D215="",IF(E215="","",E215/(0.92*1000)),IF(OR($D$183="SAN CRISTOBAL",$D$183="FLOREANA"),VLOOKUP(D215,'Estratos SCY - FLO'!$A$4:$M$108,IF($D$189="A1",2,IF($D$189="A",5,IF($D$189="B",8,11))))+E215/(0.92*1000),VLOOKUP(D215,'Estratos SCX - ISA'!$A$3:$M$107,IF($D$189="A1",2,IF($D$189="A",5,IF($D$189="B",8,11))))+E215/(0.92*1000))))),IF(OR($D$183="",$D$189=""),"",IF(OR(D215&gt;$D$190,E215&gt;$D$191),"Rev. Total. abona.",IF(D215="",IF(E215="","",E215/(0.92*1000)),IF(OR($D$183="SAN CRISTOBAL",$D$183="FLOREANA"),VLOOKUP(D215,'Estratos SCY - FLO'!$O$4:$S$108,IF($D$189="A1",2,IF($D$189="A",3,IF($D$189="B",4,5))))+E215/(0.92*1000),VLOOKUP(D215,'Estratos SCX - ISA'!$O$4:$S$108,IF($D$189="A1",2,IF($D$189="A",3,IF($D$189="B",4,5))))+E215/(0.92*1000)))))))</f>
        <v/>
      </c>
      <c r="G215" s="59" t="str">
        <f t="shared" si="28"/>
        <v/>
      </c>
      <c r="H215" s="183"/>
      <c r="I215" s="183"/>
      <c r="J215" s="59" t="str">
        <f>IF(OR(H215="",$D$10="",$N$10=""),"",IF($D$10="COBRE",VLOOKUP(CDV_PROY_BT!H215,FDV!$B$16:$E$24,IF(CDV_PROY_BT!$N$10="3F",3,4),FALSE),IF($D$10="ACS",VLOOKUP(CDV_PROY_BT!H215,FDV!$B$10:$E$15,IF(CDV_PROY_BT!$N$10="3F",3,4),FALSE),IF($D$10="5005 (PREENSAMBLADO)",VLOOKUP(CDV_PROY_BT!H215,FDV!$B$4:$E$9,IF(CDV_PROY_BT!$N$10="3F",3,4),FALSE),VLOOKUP(CDV_PROY_BT!H215,FDV!$B$25:$E$30,IF(CDV_PROY_BT!$N$10="3F",3,4),FALSE)))))</f>
        <v/>
      </c>
      <c r="K215" s="63" t="str">
        <f t="shared" si="27"/>
        <v/>
      </c>
      <c r="L215" s="62" t="str">
        <f t="shared" si="29"/>
        <v/>
      </c>
      <c r="M215" s="62" t="str">
        <f t="shared" si="30"/>
        <v/>
      </c>
      <c r="N215" s="155"/>
      <c r="U215" s="138">
        <f t="shared" si="31"/>
        <v>0</v>
      </c>
      <c r="V215" s="138">
        <f t="shared" si="32"/>
        <v>0</v>
      </c>
    </row>
    <row r="216" spans="1:22" ht="15" hidden="1">
      <c r="A216" s="167"/>
      <c r="B216" s="168"/>
      <c r="C216" s="169"/>
      <c r="D216" s="169"/>
      <c r="E216" s="170"/>
      <c r="F216" s="58" t="str">
        <f>IF($N$185="","",IF($N$185="INDUSTRIAL",IF(OR($D$183="",$D$189=""),"",IF(OR(D216&gt;$D$190,E216&gt;$D$191),"Rev. Total. abona.",IF(D216="",IF(E216="","",E216/(0.92*1000)),IF(OR($D$183="SAN CRISTOBAL",$D$183="FLOREANA"),VLOOKUP(D216,'Estratos SCY - FLO'!$A$4:$M$108,IF($D$189="A1",2,IF($D$189="A",5,IF($D$189="B",8,11))))+E216/(0.92*1000),VLOOKUP(D216,'Estratos SCX - ISA'!$A$3:$M$107,IF($D$189="A1",2,IF($D$189="A",5,IF($D$189="B",8,11))))+E216/(0.92*1000))))),IF(OR($D$183="",$D$189=""),"",IF(OR(D216&gt;$D$190,E216&gt;$D$191),"Rev. Total. abona.",IF(D216="",IF(E216="","",E216/(0.92*1000)),IF(OR($D$183="SAN CRISTOBAL",$D$183="FLOREANA"),VLOOKUP(D216,'Estratos SCY - FLO'!$O$4:$S$108,IF($D$189="A1",2,IF($D$189="A",3,IF($D$189="B",4,5))))+E216/(0.92*1000),VLOOKUP(D216,'Estratos SCX - ISA'!$O$4:$S$108,IF($D$189="A1",2,IF($D$189="A",3,IF($D$189="B",4,5))))+E216/(0.92*1000)))))))</f>
        <v/>
      </c>
      <c r="G216" s="59" t="str">
        <f t="shared" si="28"/>
        <v/>
      </c>
      <c r="H216" s="183"/>
      <c r="I216" s="183"/>
      <c r="J216" s="59" t="str">
        <f>IF(OR(H216="",$D$10="",$N$10=""),"",IF($D$10="COBRE",VLOOKUP(CDV_PROY_BT!H216,FDV!$B$16:$E$24,IF(CDV_PROY_BT!$N$10="3F",3,4),FALSE),IF($D$10="ACS",VLOOKUP(CDV_PROY_BT!H216,FDV!$B$10:$E$15,IF(CDV_PROY_BT!$N$10="3F",3,4),FALSE),IF($D$10="5005 (PREENSAMBLADO)",VLOOKUP(CDV_PROY_BT!H216,FDV!$B$4:$E$9,IF(CDV_PROY_BT!$N$10="3F",3,4),FALSE),VLOOKUP(CDV_PROY_BT!H216,FDV!$B$25:$E$30,IF(CDV_PROY_BT!$N$10="3F",3,4),FALSE)))))</f>
        <v/>
      </c>
      <c r="K216" s="63" t="str">
        <f t="shared" si="27"/>
        <v/>
      </c>
      <c r="L216" s="62" t="str">
        <f t="shared" si="29"/>
        <v/>
      </c>
      <c r="M216" s="62" t="str">
        <f t="shared" si="30"/>
        <v/>
      </c>
      <c r="N216" s="155"/>
      <c r="U216" s="138">
        <f t="shared" si="31"/>
        <v>0</v>
      </c>
      <c r="V216" s="138">
        <f t="shared" si="32"/>
        <v>0</v>
      </c>
    </row>
    <row r="217" spans="1:22" ht="15" hidden="1">
      <c r="A217" s="167"/>
      <c r="B217" s="168"/>
      <c r="C217" s="169"/>
      <c r="D217" s="169"/>
      <c r="E217" s="170"/>
      <c r="F217" s="58" t="str">
        <f>IF($N$185="","",IF($N$185="INDUSTRIAL",IF(OR($D$183="",$D$189=""),"",IF(OR(D217&gt;$D$190,E217&gt;$D$191),"Rev. Total. abona.",IF(D217="",IF(E217="","",E217/(0.92*1000)),IF(OR($D$183="SAN CRISTOBAL",$D$183="FLOREANA"),VLOOKUP(D217,'Estratos SCY - FLO'!$A$4:$M$108,IF($D$189="A1",2,IF($D$189="A",5,IF($D$189="B",8,11))))+E217/(0.92*1000),VLOOKUP(D217,'Estratos SCX - ISA'!$A$3:$M$107,IF($D$189="A1",2,IF($D$189="A",5,IF($D$189="B",8,11))))+E217/(0.92*1000))))),IF(OR($D$183="",$D$189=""),"",IF(OR(D217&gt;$D$190,E217&gt;$D$191),"Rev. Total. abona.",IF(D217="",IF(E217="","",E217/(0.92*1000)),IF(OR($D$183="SAN CRISTOBAL",$D$183="FLOREANA"),VLOOKUP(D217,'Estratos SCY - FLO'!$O$4:$S$108,IF($D$189="A1",2,IF($D$189="A",3,IF($D$189="B",4,5))))+E217/(0.92*1000),VLOOKUP(D217,'Estratos SCX - ISA'!$O$4:$S$108,IF($D$189="A1",2,IF($D$189="A",3,IF($D$189="B",4,5))))+E217/(0.92*1000)))))))</f>
        <v/>
      </c>
      <c r="G217" s="59" t="str">
        <f t="shared" si="28"/>
        <v/>
      </c>
      <c r="H217" s="183"/>
      <c r="I217" s="183"/>
      <c r="J217" s="59" t="str">
        <f>IF(OR(H217="",$D$10="",$N$10=""),"",IF($D$10="COBRE",VLOOKUP(CDV_PROY_BT!H217,FDV!$B$16:$E$24,IF(CDV_PROY_BT!$N$10="3F",3,4),FALSE),IF($D$10="ACS",VLOOKUP(CDV_PROY_BT!H217,FDV!$B$10:$E$15,IF(CDV_PROY_BT!$N$10="3F",3,4),FALSE),IF($D$10="5005 (PREENSAMBLADO)",VLOOKUP(CDV_PROY_BT!H217,FDV!$B$4:$E$9,IF(CDV_PROY_BT!$N$10="3F",3,4),FALSE),VLOOKUP(CDV_PROY_BT!H217,FDV!$B$25:$E$30,IF(CDV_PROY_BT!$N$10="3F",3,4),FALSE)))))</f>
        <v/>
      </c>
      <c r="K217" s="63" t="str">
        <f t="shared" si="27"/>
        <v/>
      </c>
      <c r="L217" s="62" t="str">
        <f t="shared" si="29"/>
        <v/>
      </c>
      <c r="M217" s="62" t="str">
        <f t="shared" si="30"/>
        <v/>
      </c>
      <c r="N217" s="155"/>
      <c r="U217" s="138">
        <f t="shared" si="31"/>
        <v>0</v>
      </c>
      <c r="V217" s="138">
        <f t="shared" si="32"/>
        <v>0</v>
      </c>
    </row>
    <row r="218" spans="1:22" ht="15" hidden="1">
      <c r="A218" s="167"/>
      <c r="B218" s="168"/>
      <c r="C218" s="169"/>
      <c r="D218" s="169"/>
      <c r="E218" s="170"/>
      <c r="F218" s="58" t="str">
        <f>IF($N$185="","",IF($N$185="INDUSTRIAL",IF(OR($D$183="",$D$189=""),"",IF(OR(D218&gt;$D$190,E218&gt;$D$191),"Rev. Total. abona.",IF(D218="",IF(E218="","",E218/(0.92*1000)),IF(OR($D$183="SAN CRISTOBAL",$D$183="FLOREANA"),VLOOKUP(D218,'Estratos SCY - FLO'!$A$4:$M$108,IF($D$189="A1",2,IF($D$189="A",5,IF($D$189="B",8,11))))+E218/(0.92*1000),VLOOKUP(D218,'Estratos SCX - ISA'!$A$3:$M$107,IF($D$189="A1",2,IF($D$189="A",5,IF($D$189="B",8,11))))+E218/(0.92*1000))))),IF(OR($D$183="",$D$189=""),"",IF(OR(D218&gt;$D$190,E218&gt;$D$191),"Rev. Total. abona.",IF(D218="",IF(E218="","",E218/(0.92*1000)),IF(OR($D$183="SAN CRISTOBAL",$D$183="FLOREANA"),VLOOKUP(D218,'Estratos SCY - FLO'!$O$4:$S$108,IF($D$189="A1",2,IF($D$189="A",3,IF($D$189="B",4,5))))+E218/(0.92*1000),VLOOKUP(D218,'Estratos SCX - ISA'!$O$4:$S$108,IF($D$189="A1",2,IF($D$189="A",3,IF($D$189="B",4,5))))+E218/(0.92*1000)))))))</f>
        <v/>
      </c>
      <c r="G218" s="59" t="str">
        <f t="shared" si="28"/>
        <v/>
      </c>
      <c r="H218" s="183"/>
      <c r="I218" s="183"/>
      <c r="J218" s="59" t="str">
        <f>IF(OR(H218="",$D$10="",$N$10=""),"",IF($D$10="COBRE",VLOOKUP(CDV_PROY_BT!H218,FDV!$B$16:$E$24,IF(CDV_PROY_BT!$N$10="3F",3,4),FALSE),IF($D$10="ACS",VLOOKUP(CDV_PROY_BT!H218,FDV!$B$10:$E$15,IF(CDV_PROY_BT!$N$10="3F",3,4),FALSE),IF($D$10="5005 (PREENSAMBLADO)",VLOOKUP(CDV_PROY_BT!H218,FDV!$B$4:$E$9,IF(CDV_PROY_BT!$N$10="3F",3,4),FALSE),VLOOKUP(CDV_PROY_BT!H218,FDV!$B$25:$E$30,IF(CDV_PROY_BT!$N$10="3F",3,4),FALSE)))))</f>
        <v/>
      </c>
      <c r="K218" s="63" t="str">
        <f t="shared" si="27"/>
        <v/>
      </c>
      <c r="L218" s="62" t="str">
        <f t="shared" si="29"/>
        <v/>
      </c>
      <c r="M218" s="62" t="str">
        <f t="shared" si="30"/>
        <v/>
      </c>
      <c r="N218" s="155"/>
      <c r="U218" s="138">
        <f t="shared" si="31"/>
        <v>0</v>
      </c>
      <c r="V218" s="138">
        <f t="shared" si="32"/>
        <v>0</v>
      </c>
    </row>
    <row r="219" spans="1:22" ht="15" hidden="1">
      <c r="A219" s="167"/>
      <c r="B219" s="168"/>
      <c r="C219" s="169"/>
      <c r="D219" s="169"/>
      <c r="E219" s="170"/>
      <c r="F219" s="58" t="str">
        <f>IF($N$185="","",IF($N$185="INDUSTRIAL",IF(OR($D$183="",$D$189=""),"",IF(OR(D219&gt;$D$190,E219&gt;$D$191),"Rev. Total. abona.",IF(D219="",IF(E219="","",E219/(0.92*1000)),IF(OR($D$183="SAN CRISTOBAL",$D$183="FLOREANA"),VLOOKUP(D219,'Estratos SCY - FLO'!$A$4:$M$108,IF($D$189="A1",2,IF($D$189="A",5,IF($D$189="B",8,11))))+E219/(0.92*1000),VLOOKUP(D219,'Estratos SCX - ISA'!$A$3:$M$107,IF($D$189="A1",2,IF($D$189="A",5,IF($D$189="B",8,11))))+E219/(0.92*1000))))),IF(OR($D$183="",$D$189=""),"",IF(OR(D219&gt;$D$190,E219&gt;$D$191),"Rev. Total. abona.",IF(D219="",IF(E219="","",E219/(0.92*1000)),IF(OR($D$183="SAN CRISTOBAL",$D$183="FLOREANA"),VLOOKUP(D219,'Estratos SCY - FLO'!$O$4:$S$108,IF($D$189="A1",2,IF($D$189="A",3,IF($D$189="B",4,5))))+E219/(0.92*1000),VLOOKUP(D219,'Estratos SCX - ISA'!$O$4:$S$108,IF($D$189="A1",2,IF($D$189="A",3,IF($D$189="B",4,5))))+E219/(0.92*1000)))))))</f>
        <v/>
      </c>
      <c r="G219" s="59" t="str">
        <f t="shared" si="28"/>
        <v/>
      </c>
      <c r="H219" s="183"/>
      <c r="I219" s="183"/>
      <c r="J219" s="59" t="str">
        <f>IF(OR(H219="",$D$10="",$N$10=""),"",IF($D$10="COBRE",VLOOKUP(CDV_PROY_BT!H219,FDV!$B$16:$E$24,IF(CDV_PROY_BT!$N$10="3F",3,4),FALSE),IF($D$10="ACS",VLOOKUP(CDV_PROY_BT!H219,FDV!$B$10:$E$15,IF(CDV_PROY_BT!$N$10="3F",3,4),FALSE),IF($D$10="5005 (PREENSAMBLADO)",VLOOKUP(CDV_PROY_BT!H219,FDV!$B$4:$E$9,IF(CDV_PROY_BT!$N$10="3F",3,4),FALSE),VLOOKUP(CDV_PROY_BT!H219,FDV!$B$25:$E$30,IF(CDV_PROY_BT!$N$10="3F",3,4),FALSE)))))</f>
        <v/>
      </c>
      <c r="K219" s="63" t="str">
        <f t="shared" si="27"/>
        <v/>
      </c>
      <c r="L219" s="62" t="str">
        <f t="shared" si="29"/>
        <v/>
      </c>
      <c r="M219" s="62" t="str">
        <f t="shared" si="30"/>
        <v/>
      </c>
      <c r="N219" s="155"/>
      <c r="U219" s="138">
        <f t="shared" si="31"/>
        <v>0</v>
      </c>
      <c r="V219" s="138">
        <f t="shared" si="32"/>
        <v>0</v>
      </c>
    </row>
    <row r="220" spans="1:22" ht="15" hidden="1">
      <c r="A220" s="167"/>
      <c r="B220" s="168"/>
      <c r="C220" s="169"/>
      <c r="D220" s="169"/>
      <c r="E220" s="170"/>
      <c r="F220" s="58" t="str">
        <f>IF($N$185="","",IF($N$185="INDUSTRIAL",IF(OR($D$183="",$D$189=""),"",IF(OR(D220&gt;$D$190,E220&gt;$D$191),"Rev. Total. abona.",IF(D220="",IF(E220="","",E220/(0.92*1000)),IF(OR($D$183="SAN CRISTOBAL",$D$183="FLOREANA"),VLOOKUP(D220,'Estratos SCY - FLO'!$A$4:$M$108,IF($D$189="A1",2,IF($D$189="A",5,IF($D$189="B",8,11))))+E220/(0.92*1000),VLOOKUP(D220,'Estratos SCX - ISA'!$A$3:$M$107,IF($D$189="A1",2,IF($D$189="A",5,IF($D$189="B",8,11))))+E220/(0.92*1000))))),IF(OR($D$183="",$D$189=""),"",IF(OR(D220&gt;$D$190,E220&gt;$D$191),"Rev. Total. abona.",IF(D220="",IF(E220="","",E220/(0.92*1000)),IF(OR($D$183="SAN CRISTOBAL",$D$183="FLOREANA"),VLOOKUP(D220,'Estratos SCY - FLO'!$O$4:$S$108,IF($D$189="A1",2,IF($D$189="A",3,IF($D$189="B",4,5))))+E220/(0.92*1000),VLOOKUP(D220,'Estratos SCX - ISA'!$O$4:$S$108,IF($D$189="A1",2,IF($D$189="A",3,IF($D$189="B",4,5))))+E220/(0.92*1000)))))))</f>
        <v/>
      </c>
      <c r="G220" s="59" t="str">
        <f t="shared" si="28"/>
        <v/>
      </c>
      <c r="H220" s="183"/>
      <c r="I220" s="183"/>
      <c r="J220" s="59" t="str">
        <f>IF(OR(H220="",$D$10="",$N$10=""),"",IF($D$10="COBRE",VLOOKUP(CDV_PROY_BT!H220,FDV!$B$16:$E$24,IF(CDV_PROY_BT!$N$10="3F",3,4),FALSE),IF($D$10="ACS",VLOOKUP(CDV_PROY_BT!H220,FDV!$B$10:$E$15,IF(CDV_PROY_BT!$N$10="3F",3,4),FALSE),IF($D$10="5005 (PREENSAMBLADO)",VLOOKUP(CDV_PROY_BT!H220,FDV!$B$4:$E$9,IF(CDV_PROY_BT!$N$10="3F",3,4),FALSE),VLOOKUP(CDV_PROY_BT!H220,FDV!$B$25:$E$30,IF(CDV_PROY_BT!$N$10="3F",3,4),FALSE)))))</f>
        <v/>
      </c>
      <c r="K220" s="63" t="str">
        <f t="shared" si="27"/>
        <v/>
      </c>
      <c r="L220" s="62" t="str">
        <f t="shared" si="29"/>
        <v/>
      </c>
      <c r="M220" s="62" t="str">
        <f t="shared" si="30"/>
        <v/>
      </c>
      <c r="N220" s="155"/>
      <c r="U220" s="138">
        <f t="shared" si="31"/>
        <v>0</v>
      </c>
      <c r="V220" s="138">
        <f t="shared" si="32"/>
        <v>0</v>
      </c>
    </row>
    <row r="221" spans="1:22" ht="15" hidden="1">
      <c r="A221" s="167"/>
      <c r="B221" s="168"/>
      <c r="C221" s="169"/>
      <c r="D221" s="169"/>
      <c r="E221" s="170"/>
      <c r="F221" s="58" t="str">
        <f>IF($N$185="","",IF($N$185="INDUSTRIAL",IF(OR($D$183="",$D$189=""),"",IF(OR(D221&gt;$D$190,E221&gt;$D$191),"Rev. Total. abona.",IF(D221="",IF(E221="","",E221/(0.92*1000)),IF(OR($D$183="SAN CRISTOBAL",$D$183="FLOREANA"),VLOOKUP(D221,'Estratos SCY - FLO'!$A$4:$M$108,IF($D$189="A1",2,IF($D$189="A",5,IF($D$189="B",8,11))))+E221/(0.92*1000),VLOOKUP(D221,'Estratos SCX - ISA'!$A$3:$M$107,IF($D$189="A1",2,IF($D$189="A",5,IF($D$189="B",8,11))))+E221/(0.92*1000))))),IF(OR($D$183="",$D$189=""),"",IF(OR(D221&gt;$D$190,E221&gt;$D$191),"Rev. Total. abona.",IF(D221="",IF(E221="","",E221/(0.92*1000)),IF(OR($D$183="SAN CRISTOBAL",$D$183="FLOREANA"),VLOOKUP(D221,'Estratos SCY - FLO'!$O$4:$S$108,IF($D$189="A1",2,IF($D$189="A",3,IF($D$189="B",4,5))))+E221/(0.92*1000),VLOOKUP(D221,'Estratos SCX - ISA'!$O$4:$S$108,IF($D$189="A1",2,IF($D$189="A",3,IF($D$189="B",4,5))))+E221/(0.92*1000)))))))</f>
        <v/>
      </c>
      <c r="G221" s="59" t="str">
        <f t="shared" si="28"/>
        <v/>
      </c>
      <c r="H221" s="183"/>
      <c r="I221" s="183"/>
      <c r="J221" s="59" t="str">
        <f>IF(OR(H221="",$D$10="",$N$10=""),"",IF($D$10="COBRE",VLOOKUP(CDV_PROY_BT!H221,FDV!$B$16:$E$24,IF(CDV_PROY_BT!$N$10="3F",3,4),FALSE),IF($D$10="ACS",VLOOKUP(CDV_PROY_BT!H221,FDV!$B$10:$E$15,IF(CDV_PROY_BT!$N$10="3F",3,4),FALSE),IF($D$10="5005 (PREENSAMBLADO)",VLOOKUP(CDV_PROY_BT!H221,FDV!$B$4:$E$9,IF(CDV_PROY_BT!$N$10="3F",3,4),FALSE),VLOOKUP(CDV_PROY_BT!H221,FDV!$B$25:$E$30,IF(CDV_PROY_BT!$N$10="3F",3,4),FALSE)))))</f>
        <v/>
      </c>
      <c r="K221" s="63" t="str">
        <f t="shared" si="27"/>
        <v/>
      </c>
      <c r="L221" s="62" t="str">
        <f t="shared" si="29"/>
        <v/>
      </c>
      <c r="M221" s="62" t="str">
        <f t="shared" si="30"/>
        <v/>
      </c>
      <c r="N221" s="155"/>
      <c r="U221" s="138">
        <f t="shared" si="31"/>
        <v>0</v>
      </c>
      <c r="V221" s="138">
        <f t="shared" si="32"/>
        <v>0</v>
      </c>
    </row>
    <row r="222" spans="1:22" ht="15" hidden="1">
      <c r="A222" s="167"/>
      <c r="B222" s="168"/>
      <c r="C222" s="169"/>
      <c r="D222" s="169"/>
      <c r="E222" s="170"/>
      <c r="F222" s="58" t="str">
        <f>IF($N$185="","",IF($N$185="INDUSTRIAL",IF(OR($D$183="",$D$189=""),"",IF(OR(D222&gt;$D$190,E222&gt;$D$191),"Rev. Total. abona.",IF(D222="",IF(E222="","",E222/(0.92*1000)),IF(OR($D$183="SAN CRISTOBAL",$D$183="FLOREANA"),VLOOKUP(D222,'Estratos SCY - FLO'!$A$4:$M$108,IF($D$189="A1",2,IF($D$189="A",5,IF($D$189="B",8,11))))+E222/(0.92*1000),VLOOKUP(D222,'Estratos SCX - ISA'!$A$3:$M$107,IF($D$189="A1",2,IF($D$189="A",5,IF($D$189="B",8,11))))+E222/(0.92*1000))))),IF(OR($D$183="",$D$189=""),"",IF(OR(D222&gt;$D$190,E222&gt;$D$191),"Rev. Total. abona.",IF(D222="",IF(E222="","",E222/(0.92*1000)),IF(OR($D$183="SAN CRISTOBAL",$D$183="FLOREANA"),VLOOKUP(D222,'Estratos SCY - FLO'!$O$4:$S$108,IF($D$189="A1",2,IF($D$189="A",3,IF($D$189="B",4,5))))+E222/(0.92*1000),VLOOKUP(D222,'Estratos SCX - ISA'!$O$4:$S$108,IF($D$189="A1",2,IF($D$189="A",3,IF($D$189="B",4,5))))+E222/(0.92*1000)))))))</f>
        <v/>
      </c>
      <c r="G222" s="59" t="str">
        <f t="shared" si="28"/>
        <v/>
      </c>
      <c r="H222" s="183"/>
      <c r="I222" s="183"/>
      <c r="J222" s="59" t="str">
        <f>IF(OR(H222="",$D$10="",$N$10=""),"",IF($D$10="COBRE",VLOOKUP(CDV_PROY_BT!H222,FDV!$B$16:$E$24,IF(CDV_PROY_BT!$N$10="3F",3,4),FALSE),IF($D$10="ACS",VLOOKUP(CDV_PROY_BT!H222,FDV!$B$10:$E$15,IF(CDV_PROY_BT!$N$10="3F",3,4),FALSE),IF($D$10="5005 (PREENSAMBLADO)",VLOOKUP(CDV_PROY_BT!H222,FDV!$B$4:$E$9,IF(CDV_PROY_BT!$N$10="3F",3,4),FALSE),VLOOKUP(CDV_PROY_BT!H222,FDV!$B$25:$E$30,IF(CDV_PROY_BT!$N$10="3F",3,4),FALSE)))))</f>
        <v/>
      </c>
      <c r="K222" s="63" t="str">
        <f t="shared" si="27"/>
        <v/>
      </c>
      <c r="L222" s="62" t="str">
        <f t="shared" si="29"/>
        <v/>
      </c>
      <c r="M222" s="62" t="str">
        <f t="shared" si="30"/>
        <v/>
      </c>
      <c r="N222" s="155"/>
      <c r="U222" s="138">
        <f t="shared" si="31"/>
        <v>0</v>
      </c>
      <c r="V222" s="138">
        <f t="shared" si="32"/>
        <v>0</v>
      </c>
    </row>
    <row r="223" spans="1:22" ht="15" hidden="1">
      <c r="A223" s="167"/>
      <c r="B223" s="168"/>
      <c r="C223" s="169"/>
      <c r="D223" s="169"/>
      <c r="E223" s="170"/>
      <c r="F223" s="58" t="str">
        <f>IF($N$185="","",IF($N$185="INDUSTRIAL",IF(OR($D$183="",$D$189=""),"",IF(OR(D223&gt;$D$190,E223&gt;$D$191),"Rev. Total. abona.",IF(D223="",IF(E223="","",E223/(0.92*1000)),IF(OR($D$183="SAN CRISTOBAL",$D$183="FLOREANA"),VLOOKUP(D223,'Estratos SCY - FLO'!$A$4:$M$108,IF($D$189="A1",2,IF($D$189="A",5,IF($D$189="B",8,11))))+E223/(0.92*1000),VLOOKUP(D223,'Estratos SCX - ISA'!$A$3:$M$107,IF($D$189="A1",2,IF($D$189="A",5,IF($D$189="B",8,11))))+E223/(0.92*1000))))),IF(OR($D$183="",$D$189=""),"",IF(OR(D223&gt;$D$190,E223&gt;$D$191),"Rev. Total. abona.",IF(D223="",IF(E223="","",E223/(0.92*1000)),IF(OR($D$183="SAN CRISTOBAL",$D$183="FLOREANA"),VLOOKUP(D223,'Estratos SCY - FLO'!$O$4:$S$108,IF($D$189="A1",2,IF($D$189="A",3,IF($D$189="B",4,5))))+E223/(0.92*1000),VLOOKUP(D223,'Estratos SCX - ISA'!$O$4:$S$108,IF($D$189="A1",2,IF($D$189="A",3,IF($D$189="B",4,5))))+E223/(0.92*1000)))))))</f>
        <v/>
      </c>
      <c r="G223" s="59" t="str">
        <f t="shared" si="28"/>
        <v/>
      </c>
      <c r="H223" s="183"/>
      <c r="I223" s="183"/>
      <c r="J223" s="59" t="str">
        <f>IF(OR(H223="",$D$10="",$N$10=""),"",IF($D$10="COBRE",VLOOKUP(CDV_PROY_BT!H223,FDV!$B$16:$E$24,IF(CDV_PROY_BT!$N$10="3F",3,4),FALSE),IF($D$10="ACS",VLOOKUP(CDV_PROY_BT!H223,FDV!$B$10:$E$15,IF(CDV_PROY_BT!$N$10="3F",3,4),FALSE),IF($D$10="5005 (PREENSAMBLADO)",VLOOKUP(CDV_PROY_BT!H223,FDV!$B$4:$E$9,IF(CDV_PROY_BT!$N$10="3F",3,4),FALSE),VLOOKUP(CDV_PROY_BT!H223,FDV!$B$25:$E$30,IF(CDV_PROY_BT!$N$10="3F",3,4),FALSE)))))</f>
        <v/>
      </c>
      <c r="K223" s="63" t="str">
        <f t="shared" si="27"/>
        <v/>
      </c>
      <c r="L223" s="62" t="str">
        <f t="shared" si="29"/>
        <v/>
      </c>
      <c r="M223" s="62" t="str">
        <f t="shared" si="30"/>
        <v/>
      </c>
      <c r="N223" s="155"/>
      <c r="U223" s="138">
        <f t="shared" si="31"/>
        <v>0</v>
      </c>
      <c r="V223" s="138">
        <f t="shared" si="32"/>
        <v>0</v>
      </c>
    </row>
    <row r="224" spans="1:22" ht="15" hidden="1">
      <c r="A224" s="167"/>
      <c r="B224" s="168"/>
      <c r="C224" s="169"/>
      <c r="D224" s="169"/>
      <c r="E224" s="170"/>
      <c r="F224" s="58" t="str">
        <f>IF($N$185="","",IF($N$185="INDUSTRIAL",IF(OR($D$183="",$D$189=""),"",IF(OR(D224&gt;$D$190,E224&gt;$D$191),"Rev. Total. abona.",IF(D224="",IF(E224="","",E224/(0.92*1000)),IF(OR($D$183="SAN CRISTOBAL",$D$183="FLOREANA"),VLOOKUP(D224,'Estratos SCY - FLO'!$A$4:$M$108,IF($D$189="A1",2,IF($D$189="A",5,IF($D$189="B",8,11))))+E224/(0.92*1000),VLOOKUP(D224,'Estratos SCX - ISA'!$A$3:$M$107,IF($D$189="A1",2,IF($D$189="A",5,IF($D$189="B",8,11))))+E224/(0.92*1000))))),IF(OR($D$183="",$D$189=""),"",IF(OR(D224&gt;$D$190,E224&gt;$D$191),"Rev. Total. abona.",IF(D224="",IF(E224="","",E224/(0.92*1000)),IF(OR($D$183="SAN CRISTOBAL",$D$183="FLOREANA"),VLOOKUP(D224,'Estratos SCY - FLO'!$O$4:$S$108,IF($D$189="A1",2,IF($D$189="A",3,IF($D$189="B",4,5))))+E224/(0.92*1000),VLOOKUP(D224,'Estratos SCX - ISA'!$O$4:$S$108,IF($D$189="A1",2,IF($D$189="A",3,IF($D$189="B",4,5))))+E224/(0.92*1000)))))))</f>
        <v/>
      </c>
      <c r="G224" s="59" t="str">
        <f t="shared" si="28"/>
        <v/>
      </c>
      <c r="H224" s="183"/>
      <c r="I224" s="183"/>
      <c r="J224" s="59" t="str">
        <f>IF(OR(H224="",$D$10="",$N$10=""),"",IF($D$10="COBRE",VLOOKUP(CDV_PROY_BT!H224,FDV!$B$16:$E$24,IF(CDV_PROY_BT!$N$10="3F",3,4),FALSE),IF($D$10="ACS",VLOOKUP(CDV_PROY_BT!H224,FDV!$B$10:$E$15,IF(CDV_PROY_BT!$N$10="3F",3,4),FALSE),IF($D$10="5005 (PREENSAMBLADO)",VLOOKUP(CDV_PROY_BT!H224,FDV!$B$4:$E$9,IF(CDV_PROY_BT!$N$10="3F",3,4),FALSE),VLOOKUP(CDV_PROY_BT!H224,FDV!$B$25:$E$30,IF(CDV_PROY_BT!$N$10="3F",3,4),FALSE)))))</f>
        <v/>
      </c>
      <c r="K224" s="63" t="str">
        <f t="shared" si="27"/>
        <v/>
      </c>
      <c r="L224" s="62" t="str">
        <f t="shared" si="29"/>
        <v/>
      </c>
      <c r="M224" s="62" t="str">
        <f t="shared" si="30"/>
        <v/>
      </c>
      <c r="N224" s="155"/>
      <c r="U224" s="138">
        <f t="shared" si="31"/>
        <v>0</v>
      </c>
      <c r="V224" s="138">
        <f t="shared" si="32"/>
        <v>0</v>
      </c>
    </row>
    <row r="225" spans="1:22" ht="15" hidden="1">
      <c r="A225" s="167"/>
      <c r="B225" s="168"/>
      <c r="C225" s="169"/>
      <c r="D225" s="169"/>
      <c r="E225" s="170"/>
      <c r="F225" s="58" t="str">
        <f>IF($N$185="","",IF($N$185="INDUSTRIAL",IF(OR($D$183="",$D$189=""),"",IF(OR(D225&gt;$D$190,E225&gt;$D$191),"Rev. Total. abona.",IF(D225="",IF(E225="","",E225/(0.92*1000)),IF(OR($D$183="SAN CRISTOBAL",$D$183="FLOREANA"),VLOOKUP(D225,'Estratos SCY - FLO'!$A$4:$M$108,IF($D$189="A1",2,IF($D$189="A",5,IF($D$189="B",8,11))))+E225/(0.92*1000),VLOOKUP(D225,'Estratos SCX - ISA'!$A$3:$M$107,IF($D$189="A1",2,IF($D$189="A",5,IF($D$189="B",8,11))))+E225/(0.92*1000))))),IF(OR($D$183="",$D$189=""),"",IF(OR(D225&gt;$D$190,E225&gt;$D$191),"Rev. Total. abona.",IF(D225="",IF(E225="","",E225/(0.92*1000)),IF(OR($D$183="SAN CRISTOBAL",$D$183="FLOREANA"),VLOOKUP(D225,'Estratos SCY - FLO'!$O$4:$S$108,IF($D$189="A1",2,IF($D$189="A",3,IF($D$189="B",4,5))))+E225/(0.92*1000),VLOOKUP(D225,'Estratos SCX - ISA'!$O$4:$S$108,IF($D$189="A1",2,IF($D$189="A",3,IF($D$189="B",4,5))))+E225/(0.92*1000)))))))</f>
        <v/>
      </c>
      <c r="G225" s="59" t="str">
        <f t="shared" si="28"/>
        <v/>
      </c>
      <c r="H225" s="183"/>
      <c r="I225" s="183"/>
      <c r="J225" s="59" t="str">
        <f>IF(OR(H225="",$D$10="",$N$10=""),"",IF($D$10="COBRE",VLOOKUP(CDV_PROY_BT!H225,FDV!$B$16:$E$24,IF(CDV_PROY_BT!$N$10="3F",3,4),FALSE),IF($D$10="ACS",VLOOKUP(CDV_PROY_BT!H225,FDV!$B$10:$E$15,IF(CDV_PROY_BT!$N$10="3F",3,4),FALSE),IF($D$10="5005 (PREENSAMBLADO)",VLOOKUP(CDV_PROY_BT!H225,FDV!$B$4:$E$9,IF(CDV_PROY_BT!$N$10="3F",3,4),FALSE),VLOOKUP(CDV_PROY_BT!H225,FDV!$B$25:$E$30,IF(CDV_PROY_BT!$N$10="3F",3,4),FALSE)))))</f>
        <v/>
      </c>
      <c r="K225" s="63" t="str">
        <f t="shared" si="27"/>
        <v/>
      </c>
      <c r="L225" s="62" t="str">
        <f t="shared" si="29"/>
        <v/>
      </c>
      <c r="M225" s="62" t="str">
        <f t="shared" si="30"/>
        <v/>
      </c>
      <c r="N225" s="156"/>
      <c r="U225" s="138">
        <f t="shared" si="31"/>
        <v>0</v>
      </c>
      <c r="V225" s="138">
        <f t="shared" si="32"/>
        <v>0</v>
      </c>
    </row>
    <row r="226" spans="1:22" ht="15.75" hidden="1" thickBot="1">
      <c r="A226" s="178"/>
      <c r="B226" s="179"/>
      <c r="C226" s="180"/>
      <c r="D226" s="180"/>
      <c r="E226" s="181"/>
      <c r="F226" s="68" t="str">
        <f>IF($N$185="","",IF($N$185="INDUSTRIAL",IF(OR($D$183="",$D$189=""),"",IF(OR(D226&gt;$D$190,E226&gt;$D$191),"Rev. Total. abona.",IF(D226="",IF(E226="","",E226/(0.92*1000)),IF(OR($D$183="SAN CRISTOBAL",$D$183="FLOREANA"),VLOOKUP(D226,'Estratos SCY - FLO'!$A$4:$M$108,IF($D$189="A1",2,IF($D$189="A",5,IF($D$189="B",8,11))))+E226/(0.92*1000),VLOOKUP(D226,'Estratos SCX - ISA'!$A$3:$M$107,IF($D$189="A1",2,IF($D$189="A",5,IF($D$189="B",8,11))))+E226/(0.92*1000))))),IF(OR($D$183="",$D$189=""),"",IF(OR(D226&gt;$D$190,E226&gt;$D$191),"Rev. Total. abona.",IF(D226="",IF(E226="","",E226/(0.92*1000)),IF(OR($D$183="SAN CRISTOBAL",$D$183="FLOREANA"),VLOOKUP(D226,'Estratos SCY - FLO'!$O$4:$S$108,IF($D$189="A1",2,IF($D$189="A",3,IF($D$189="B",4,5))))+E226/(0.92*1000),VLOOKUP(D226,'Estratos SCX - ISA'!$O$4:$S$108,IF($D$189="A1",2,IF($D$189="A",3,IF($D$189="B",4,5))))+E226/(0.92*1000)))))))</f>
        <v/>
      </c>
      <c r="G226" s="69" t="str">
        <f t="shared" si="28"/>
        <v/>
      </c>
      <c r="H226" s="184"/>
      <c r="I226" s="184"/>
      <c r="J226" s="69" t="str">
        <f>IF(OR(H226="",$D$10="",$N$10=""),"",IF($D$10="COBRE",VLOOKUP(CDV_PROY_BT!H226,FDV!$B$16:$E$24,IF(CDV_PROY_BT!$N$10="3F",3,4),FALSE),IF($D$10="ACS",VLOOKUP(CDV_PROY_BT!H226,FDV!$B$10:$E$15,IF(CDV_PROY_BT!$N$10="3F",3,4),FALSE),IF($D$10="5005 (PREENSAMBLADO)",VLOOKUP(CDV_PROY_BT!H226,FDV!$B$4:$E$9,IF(CDV_PROY_BT!$N$10="3F",3,4),FALSE),VLOOKUP(CDV_PROY_BT!H226,FDV!$B$25:$E$30,IF(CDV_PROY_BT!$N$10="3F",3,4),FALSE)))))</f>
        <v/>
      </c>
      <c r="K226" s="65" t="str">
        <f t="shared" si="27"/>
        <v/>
      </c>
      <c r="L226" s="64" t="str">
        <f t="shared" si="29"/>
        <v/>
      </c>
      <c r="M226" s="64" t="str">
        <f t="shared" si="30"/>
        <v/>
      </c>
      <c r="N226" s="157"/>
      <c r="U226" s="138">
        <f t="shared" si="31"/>
        <v>0</v>
      </c>
      <c r="V226" s="138">
        <f t="shared" si="32"/>
        <v>0</v>
      </c>
    </row>
    <row r="227" spans="1:22" ht="15.75" hidden="1" thickBot="1">
      <c r="A227" s="143"/>
      <c r="B227" s="67" t="str">
        <f>IF(N196="","",N196)</f>
        <v>P22</v>
      </c>
      <c r="C227" s="144"/>
      <c r="D227" s="144"/>
      <c r="E227" s="145"/>
      <c r="F227" s="68" t="str">
        <f>IF(OR($D$183="",$D$189=""),"",IF(OR(D227&gt;$D$190,E227&gt;$D$191),"Rev. Total. abona.",IF(D227="",IF(E227="","",E227/(0.9*1000)),IF(OR($D$183="SAN CRISTOBAL",$D$183="FLOREANA"),VLOOKUP(D227,'Estratos SCY - FLO'!$A$4:$M$108,IF($D$189="A1",2,IF($D$189="A",5,IF($D$189="B",8,11))))+E227/(0.9*1000),VLOOKUP(D227,'Estratos SCX - ISA'!$A$3:$M$107,IF($D$189="A1",2,IF($D$189="A",5,IF($D$189="B",8,11))))+E227/(0.92*1000)))))</f>
        <v/>
      </c>
      <c r="G227" s="69" t="str">
        <f t="shared" si="28"/>
        <v/>
      </c>
      <c r="H227" s="146" t="e">
        <f>IF(B227="","",IF(B227-A227=1,H226,""))</f>
        <v>#VALUE!</v>
      </c>
      <c r="I227" s="146"/>
      <c r="J227" s="70" t="e">
        <f>IF(OR(H227="",$D$10="",$N$10=""),"",IF($D$10="COBRE",VLOOKUP(CDV_PROY_BT!H227,FDV!$B$16:$E$24,IF(CDV_PROY_BT!$N$10="3F",3,4),FALSE),IF($D$10="ACS",VLOOKUP(CDV_PROY_BT!H227,FDV!$B$10:$E$15,IF(CDV_PROY_BT!$N$10="3F",3,4),FALSE),IF($D$10="5005 (PREENSAMBLADO)",VLOOKUP(CDV_PROY_BT!H227,FDV!$B$4:$E$9,IF(CDV_PROY_BT!$N$10="3F",3,4),FALSE),VLOOKUP(CDV_PROY_BT!H227,FDV!$B$25:$E$30,IF(CDV_PROY_BT!$N$10="3F",3,4),FALSE)))))</f>
        <v>#VALUE!</v>
      </c>
      <c r="K227" s="71" t="str">
        <f t="shared" si="27"/>
        <v/>
      </c>
      <c r="L227" s="68" t="str">
        <f aca="true" t="shared" si="33" ref="L227">IF(C227="","",ROUND(K227/J227,2))</f>
        <v/>
      </c>
      <c r="M227" s="72">
        <v>0</v>
      </c>
      <c r="N227" s="66"/>
      <c r="U227" s="138">
        <f aca="true" t="shared" si="34" ref="U227:U228">+IF(D227&gt;0,C227,0)</f>
        <v>0</v>
      </c>
      <c r="V227" s="138">
        <f aca="true" t="shared" si="35" ref="V227:V228">IF(C227="",0,C227*G227)</f>
        <v>0</v>
      </c>
    </row>
    <row r="228" spans="1:22" ht="15.75" hidden="1" thickBot="1">
      <c r="A228" s="73" t="s">
        <v>113</v>
      </c>
      <c r="B228" s="74"/>
      <c r="C228" s="75"/>
      <c r="D228" s="75"/>
      <c r="E228" s="76"/>
      <c r="F228" s="77"/>
      <c r="G228" s="78"/>
      <c r="H228" s="79"/>
      <c r="I228" s="79"/>
      <c r="J228" s="78"/>
      <c r="K228" s="121"/>
      <c r="L228" s="121"/>
      <c r="M228" s="128"/>
      <c r="N228" s="240"/>
      <c r="U228" s="138">
        <f t="shared" si="34"/>
        <v>0</v>
      </c>
      <c r="V228" s="138">
        <f t="shared" si="35"/>
        <v>0</v>
      </c>
    </row>
    <row r="229" spans="1:14" ht="15.75" hidden="1" thickBot="1">
      <c r="A229" s="93" t="s">
        <v>96</v>
      </c>
      <c r="B229" s="94">
        <f>+ROUND(SUMIF(H200:H226,"4/0",V200:V228)*1.015,0)</f>
        <v>0</v>
      </c>
      <c r="C229" s="93" t="s">
        <v>97</v>
      </c>
      <c r="D229" s="94">
        <f>ROUND((SUMIF(H200:H226,"3/0",V200:V228))*1.015,0)</f>
        <v>0</v>
      </c>
      <c r="E229" s="82" t="s">
        <v>95</v>
      </c>
      <c r="F229" s="81">
        <f>ROUND((SUMIF(H200:H226,"2/0",V200:V228))*1.015,0)</f>
        <v>59</v>
      </c>
      <c r="G229" s="80" t="s">
        <v>57</v>
      </c>
      <c r="H229" s="81">
        <f>ROUND((SUMIF(H200:H226,"1/0",V200:V228))*1.015,0)</f>
        <v>0</v>
      </c>
      <c r="I229" s="93" t="s">
        <v>58</v>
      </c>
      <c r="J229" s="94">
        <f>ROUND((SUMIF(H200:H226,"2",V200:V228))*1.015,0)</f>
        <v>0</v>
      </c>
      <c r="K229" s="147"/>
      <c r="L229" s="91"/>
      <c r="M229" s="92"/>
      <c r="N229" s="241"/>
    </row>
    <row r="230" spans="1:14" ht="15.75" hidden="1" thickBot="1">
      <c r="A230" s="119" t="s">
        <v>107</v>
      </c>
      <c r="B230" s="92"/>
      <c r="C230" s="91"/>
      <c r="D230" s="92"/>
      <c r="E230" s="91"/>
      <c r="F230" s="92"/>
      <c r="G230" s="91"/>
      <c r="H230" s="92"/>
      <c r="I230" s="92"/>
      <c r="J230" s="91"/>
      <c r="K230" s="92"/>
      <c r="L230" s="91"/>
      <c r="M230" s="92"/>
      <c r="N230" s="241"/>
    </row>
    <row r="231" spans="1:14" ht="15.75" hidden="1" thickBot="1">
      <c r="A231" s="93" t="s">
        <v>96</v>
      </c>
      <c r="B231" s="94">
        <f>+ROUND(SUMIF(I200:I226,"4/0",U200:U228)*1.015,0)</f>
        <v>0</v>
      </c>
      <c r="C231" s="93" t="s">
        <v>97</v>
      </c>
      <c r="D231" s="94">
        <f>ROUND((SUMIF(I200:I226,"3/0",U200:U228))*1.015,0)</f>
        <v>0</v>
      </c>
      <c r="E231" s="93" t="s">
        <v>95</v>
      </c>
      <c r="F231" s="94">
        <f>ROUND((SUMIF(I200:I226,"2/0",U200:U228))*1.015,0)</f>
        <v>59</v>
      </c>
      <c r="G231" s="93" t="s">
        <v>57</v>
      </c>
      <c r="H231" s="94">
        <f>ROUND((SUMIF(I200:I226,"1/0",U200:U228))*1.015,0)</f>
        <v>0</v>
      </c>
      <c r="I231" s="93" t="s">
        <v>58</v>
      </c>
      <c r="J231" s="94">
        <f>ROUND((SUMIF(I200:I226,"2",U200:U228))*1.015,0)</f>
        <v>0</v>
      </c>
      <c r="L231" s="91"/>
      <c r="M231" s="92"/>
      <c r="N231" s="241"/>
    </row>
    <row r="232" spans="1:14" ht="15.75" hidden="1" thickBot="1">
      <c r="A232" s="244" t="s">
        <v>123</v>
      </c>
      <c r="B232" s="244"/>
      <c r="C232" s="244"/>
      <c r="D232" s="21">
        <f>IF(N187="","",SUM(C200:C226))</f>
        <v>58</v>
      </c>
      <c r="E232" s="28" t="s">
        <v>59</v>
      </c>
      <c r="G232" s="21"/>
      <c r="H232" s="21"/>
      <c r="I232" s="21"/>
      <c r="J232" s="21"/>
      <c r="K232" s="21"/>
      <c r="L232" s="21"/>
      <c r="M232" s="23"/>
      <c r="N232" s="83" t="s">
        <v>80</v>
      </c>
    </row>
    <row r="233" spans="1:14" ht="15" hidden="1">
      <c r="A233" s="36" t="s">
        <v>60</v>
      </c>
      <c r="B233" s="238"/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9"/>
      <c r="N233" s="84" t="s">
        <v>61</v>
      </c>
    </row>
    <row r="234" spans="1:14" ht="15.75" hidden="1" thickBot="1">
      <c r="A234" s="148"/>
      <c r="B234" s="242"/>
      <c r="C234" s="242"/>
      <c r="D234" s="242"/>
      <c r="E234" s="242"/>
      <c r="F234" s="242"/>
      <c r="G234" s="242"/>
      <c r="H234" s="242"/>
      <c r="I234" s="242"/>
      <c r="J234" s="242"/>
      <c r="K234" s="242"/>
      <c r="L234" s="242"/>
      <c r="M234" s="243"/>
      <c r="N234" s="85">
        <f>MAX(N200:N226)</f>
        <v>3.16</v>
      </c>
    </row>
    <row r="235" ht="15.75" hidden="1" thickBot="1"/>
    <row r="236" spans="1:14" ht="15.75" hidden="1" thickBot="1">
      <c r="A236" s="18"/>
      <c r="B236" s="18"/>
      <c r="C236" s="19"/>
      <c r="D236" s="19"/>
      <c r="E236" s="19"/>
      <c r="F236" s="20"/>
      <c r="G236" s="18"/>
      <c r="H236" s="18"/>
      <c r="I236" s="18"/>
      <c r="J236" s="19"/>
      <c r="K236" s="18"/>
      <c r="L236" s="18"/>
      <c r="M236" s="131" t="s">
        <v>122</v>
      </c>
      <c r="N236" s="161" t="s">
        <v>209</v>
      </c>
    </row>
    <row r="237" spans="1:14" ht="18" hidden="1">
      <c r="A237" s="245" t="s">
        <v>62</v>
      </c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</row>
    <row r="238" spans="1:14" ht="18" hidden="1">
      <c r="A238" s="192"/>
      <c r="B238" s="192"/>
      <c r="C238" s="192"/>
      <c r="D238" s="192"/>
      <c r="E238" s="192"/>
      <c r="F238" s="22" t="s">
        <v>111</v>
      </c>
      <c r="G238" s="192"/>
      <c r="H238" s="192"/>
      <c r="I238" s="192"/>
      <c r="J238" s="192"/>
      <c r="K238" s="192"/>
      <c r="L238" s="192"/>
      <c r="M238" s="192"/>
      <c r="N238" s="87"/>
    </row>
    <row r="239" spans="1:31" ht="15.75" hidden="1">
      <c r="A239" s="246" t="s">
        <v>112</v>
      </c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U239" s="138" t="s">
        <v>63</v>
      </c>
      <c r="W239" s="138" t="s">
        <v>24</v>
      </c>
      <c r="Y239" s="138" t="s">
        <v>69</v>
      </c>
      <c r="AA239" s="138" t="s">
        <v>72</v>
      </c>
      <c r="AB239" s="138" t="s">
        <v>77</v>
      </c>
      <c r="AC239" s="138" t="s">
        <v>79</v>
      </c>
      <c r="AD239" s="138" t="s">
        <v>170</v>
      </c>
      <c r="AE239" s="138" t="s">
        <v>176</v>
      </c>
    </row>
    <row r="240" spans="1:31" ht="16.5" hidden="1" thickBot="1">
      <c r="A240" s="24"/>
      <c r="B240" s="18"/>
      <c r="C240" s="19"/>
      <c r="D240" s="19"/>
      <c r="E240" s="19"/>
      <c r="F240" s="20"/>
      <c r="G240" s="20"/>
      <c r="H240" s="18"/>
      <c r="I240" s="18"/>
      <c r="J240" s="18"/>
      <c r="K240" s="19"/>
      <c r="L240" s="18"/>
      <c r="M240" s="18"/>
      <c r="N240" s="23"/>
      <c r="U240" s="138" t="s">
        <v>64</v>
      </c>
      <c r="W240" s="138" t="s">
        <v>82</v>
      </c>
      <c r="Y240" s="138" t="s">
        <v>70</v>
      </c>
      <c r="AA240" s="138" t="s">
        <v>73</v>
      </c>
      <c r="AB240" s="138" t="s">
        <v>29</v>
      </c>
      <c r="AC240" s="139">
        <v>2</v>
      </c>
      <c r="AD240" s="138" t="s">
        <v>171</v>
      </c>
      <c r="AE240" s="138">
        <v>0.65</v>
      </c>
    </row>
    <row r="241" spans="1:31" ht="15.75" hidden="1" thickBot="1">
      <c r="A241" s="25" t="s">
        <v>23</v>
      </c>
      <c r="B241" s="26"/>
      <c r="C241" s="88"/>
      <c r="D241" s="258" t="s">
        <v>64</v>
      </c>
      <c r="E241" s="258"/>
      <c r="F241" s="266" t="s">
        <v>92</v>
      </c>
      <c r="G241" s="267"/>
      <c r="H241" s="263" t="str">
        <f>+H183</f>
        <v>Puerto Villamil</v>
      </c>
      <c r="I241" s="264"/>
      <c r="J241" s="265"/>
      <c r="K241" s="268" t="s">
        <v>81</v>
      </c>
      <c r="L241" s="269"/>
      <c r="M241" s="261" t="str">
        <f>+M183</f>
        <v>Pedregal V</v>
      </c>
      <c r="N241" s="262"/>
      <c r="U241" s="138" t="s">
        <v>65</v>
      </c>
      <c r="W241" s="138" t="s">
        <v>83</v>
      </c>
      <c r="Y241" s="138" t="s">
        <v>7</v>
      </c>
      <c r="AA241" s="138" t="s">
        <v>76</v>
      </c>
      <c r="AB241" s="138" t="s">
        <v>78</v>
      </c>
      <c r="AC241" s="139" t="s">
        <v>0</v>
      </c>
      <c r="AD241" s="138" t="s">
        <v>172</v>
      </c>
      <c r="AE241" s="138">
        <v>0.7</v>
      </c>
    </row>
    <row r="242" spans="1:31" ht="15.75" hidden="1" thickBot="1">
      <c r="A242" s="21"/>
      <c r="B242" s="21"/>
      <c r="C242" s="21"/>
      <c r="D242" s="21"/>
      <c r="E242" s="21"/>
      <c r="F242" s="28"/>
      <c r="G242" s="28"/>
      <c r="H242" s="21"/>
      <c r="I242" s="21"/>
      <c r="J242" s="21"/>
      <c r="K242" s="21"/>
      <c r="L242" s="21"/>
      <c r="M242" s="21"/>
      <c r="N242" s="23"/>
      <c r="U242" s="138" t="s">
        <v>66</v>
      </c>
      <c r="W242" s="138" t="s">
        <v>68</v>
      </c>
      <c r="Y242" s="138" t="s">
        <v>27</v>
      </c>
      <c r="AA242" s="138" t="s">
        <v>74</v>
      </c>
      <c r="AC242" s="139" t="s">
        <v>1</v>
      </c>
      <c r="AD242" s="138" t="s">
        <v>173</v>
      </c>
      <c r="AE242" s="138">
        <v>0.8</v>
      </c>
    </row>
    <row r="243" spans="1:31" ht="15.75" hidden="1" thickBot="1">
      <c r="A243" s="25" t="s">
        <v>24</v>
      </c>
      <c r="B243" s="26"/>
      <c r="C243" s="26"/>
      <c r="D243" s="259" t="s">
        <v>68</v>
      </c>
      <c r="E243" s="258"/>
      <c r="F243" s="260"/>
      <c r="G243" s="26"/>
      <c r="H243" s="29"/>
      <c r="I243" s="29"/>
      <c r="J243" s="26"/>
      <c r="K243" s="26"/>
      <c r="L243" s="26" t="s">
        <v>174</v>
      </c>
      <c r="M243" s="26"/>
      <c r="N243" s="211" t="s">
        <v>173</v>
      </c>
      <c r="U243" s="138" t="s">
        <v>67</v>
      </c>
      <c r="Y243" s="138" t="s">
        <v>9</v>
      </c>
      <c r="AA243" s="138" t="s">
        <v>75</v>
      </c>
      <c r="AC243" s="139" t="s">
        <v>2</v>
      </c>
      <c r="AE243" s="138">
        <v>0.9</v>
      </c>
    </row>
    <row r="244" spans="1:31" ht="15.75" hidden="1" thickBot="1">
      <c r="A244" s="23" t="s">
        <v>25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 t="s">
        <v>178</v>
      </c>
      <c r="L244" s="208"/>
      <c r="M244" s="23"/>
      <c r="N244" s="43" t="str">
        <f>IF(N245="","",IF(N245="3F","220 / 127 V","240 / 120 V"))</f>
        <v>220 / 127 V</v>
      </c>
      <c r="AC244" s="141" t="s">
        <v>3</v>
      </c>
      <c r="AE244" s="138">
        <v>1</v>
      </c>
    </row>
    <row r="245" spans="1:24" ht="15.75" hidden="1" thickBot="1">
      <c r="A245" s="30" t="s">
        <v>26</v>
      </c>
      <c r="B245" s="18"/>
      <c r="C245" s="23"/>
      <c r="D245" s="253" t="s">
        <v>70</v>
      </c>
      <c r="E245" s="254"/>
      <c r="F245" s="18"/>
      <c r="G245" s="18"/>
      <c r="H245" s="18"/>
      <c r="I245" s="18"/>
      <c r="J245" s="18"/>
      <c r="K245" s="23"/>
      <c r="L245" s="18" t="s">
        <v>179</v>
      </c>
      <c r="M245" s="18"/>
      <c r="N245" s="151" t="s">
        <v>78</v>
      </c>
      <c r="U245" s="138" t="s">
        <v>64</v>
      </c>
      <c r="W245" s="138" t="s">
        <v>29</v>
      </c>
      <c r="X245" s="138" t="s">
        <v>78</v>
      </c>
    </row>
    <row r="246" spans="1:24" ht="15.75" hidden="1" thickBot="1">
      <c r="A246" s="23"/>
      <c r="B246" s="31"/>
      <c r="C246" s="23"/>
      <c r="D246" s="19"/>
      <c r="E246" s="32"/>
      <c r="F246" s="32"/>
      <c r="G246" s="20"/>
      <c r="H246" s="20"/>
      <c r="I246" s="20"/>
      <c r="J246" s="33"/>
      <c r="K246" s="21" t="s">
        <v>175</v>
      </c>
      <c r="L246" s="35"/>
      <c r="M246" s="18"/>
      <c r="N246" s="209">
        <v>0.8</v>
      </c>
      <c r="U246" s="138" t="s">
        <v>84</v>
      </c>
      <c r="W246" s="138">
        <v>10</v>
      </c>
      <c r="X246" s="138">
        <v>30</v>
      </c>
    </row>
    <row r="247" spans="1:24" ht="15.75" hidden="1" thickBot="1">
      <c r="A247" s="36" t="s">
        <v>71</v>
      </c>
      <c r="B247" s="37"/>
      <c r="C247" s="37"/>
      <c r="D247" s="150" t="s">
        <v>74</v>
      </c>
      <c r="E247" s="38"/>
      <c r="F247" s="39"/>
      <c r="G247" s="39"/>
      <c r="H247" s="39"/>
      <c r="I247" s="39"/>
      <c r="J247" s="37"/>
      <c r="K247" s="36"/>
      <c r="L247" s="37"/>
      <c r="M247" s="89" t="s">
        <v>30</v>
      </c>
      <c r="N247" s="190" t="s">
        <v>144</v>
      </c>
      <c r="U247" s="138" t="s">
        <v>85</v>
      </c>
      <c r="W247" s="138">
        <v>15</v>
      </c>
      <c r="X247" s="138">
        <v>50</v>
      </c>
    </row>
    <row r="248" spans="1:24" ht="15.75" hidden="1" thickBot="1">
      <c r="A248" s="41" t="s">
        <v>31</v>
      </c>
      <c r="B248" s="21"/>
      <c r="C248" s="21"/>
      <c r="D248" s="150">
        <v>13</v>
      </c>
      <c r="E248" s="21"/>
      <c r="F248" s="28"/>
      <c r="G248" s="42" t="s">
        <v>32</v>
      </c>
      <c r="H248" s="274" t="str">
        <f>+H190</f>
        <v>J.P</v>
      </c>
      <c r="I248" s="275"/>
      <c r="J248" s="275"/>
      <c r="K248" s="41"/>
      <c r="L248" s="21"/>
      <c r="M248" s="115" t="s">
        <v>93</v>
      </c>
      <c r="N248" s="210">
        <f>+N249/N246</f>
        <v>56.75612076681557</v>
      </c>
      <c r="U248" s="138" t="s">
        <v>86</v>
      </c>
      <c r="W248" s="138">
        <v>25</v>
      </c>
      <c r="X248" s="138">
        <v>75</v>
      </c>
    </row>
    <row r="249" spans="1:24" ht="15.75" hidden="1" thickBot="1">
      <c r="A249" s="41" t="s">
        <v>34</v>
      </c>
      <c r="B249" s="21"/>
      <c r="C249" s="21"/>
      <c r="D249" s="162">
        <v>660</v>
      </c>
      <c r="E249" s="41"/>
      <c r="F249" s="28"/>
      <c r="G249" s="42" t="s">
        <v>35</v>
      </c>
      <c r="H249" s="249">
        <f>+H191</f>
        <v>43511</v>
      </c>
      <c r="I249" s="250"/>
      <c r="J249" s="250"/>
      <c r="K249" s="41"/>
      <c r="L249" s="21"/>
      <c r="M249" s="115" t="s">
        <v>177</v>
      </c>
      <c r="N249" s="116">
        <f>IF($N$243="","",IF($N$243="INDUSTRIAL",IF(OR(D241="",D247="",D248=""),"",(IF(OR(D241="SAN CRISTOBAL",D241="FLOREANA"),VLOOKUP(D248,'Estratos SCY - FLO'!$A$4:$M$108,IF(D247="A1",2,IF(D247="A",5,IF(D247="B",8,11))),0),VLOOKUP(D248,'Estratos SCX - ISA'!$A$4:$M$108,IF(D247="A1",2,IF(D247="A",5,IF(D247="B",8,11))),0))+D249/920)*N246),IF(OR(D241="",D247="",D248=""),"",(IF(OR(D241="SAN CRISTOBAL",D241="FLOREANA"),VLOOKUP(D248,'Estratos SCY - FLO'!$O$4:$S$108,IF(D247="A1",2,IF(D247="A",3,IF(D247="B",4,5))),0),VLOOKUP(D248,'Estratos SCX - ISA'!$O$4:$S$108,IF(D247="A1",2,IF(D247="A",3,IF(D247="B",4,5))),0))+D249/920)*N246)))</f>
        <v>45.40489661345246</v>
      </c>
      <c r="U249" s="138" t="s">
        <v>87</v>
      </c>
      <c r="W249" s="138">
        <v>37.5</v>
      </c>
      <c r="X249" s="138">
        <v>100</v>
      </c>
    </row>
    <row r="250" spans="1:24" ht="34.5" customHeight="1" hidden="1" thickBot="1">
      <c r="A250" s="270" t="str">
        <f>+IF(OR(N243="INDUSTRIAL"),"NOTA: Estratos:  A1 (Consumo-Alto); A (Consumo-Medio); B(Consumo-Bajo); C(Consumo-Mínimo)",IF(N243="","","NOTA: Estratos:  A1 (Casco Urbano-Sector hotelero);A (Barrios Centricos); B(Zona Periferica); C(Zona Rural)"))</f>
        <v>NOTA: Estratos:  A1 (Consumo-Alto); A (Consumo-Medio); B(Consumo-Bajo); C(Consumo-Mínimo)</v>
      </c>
      <c r="B250" s="271"/>
      <c r="C250" s="271"/>
      <c r="D250" s="271"/>
      <c r="E250" s="271"/>
      <c r="F250" s="271"/>
      <c r="G250" s="271"/>
      <c r="H250" s="271"/>
      <c r="I250" s="271"/>
      <c r="J250" s="271"/>
      <c r="K250" s="44"/>
      <c r="L250" s="34"/>
      <c r="M250" s="130" t="str">
        <f>+IF(OR(N245="",D247="",D248=""),"","POT. NOMINAL TRAFO. (KVA):")</f>
        <v>POT. NOMINAL TRAFO. (KVA):</v>
      </c>
      <c r="N250" s="117">
        <f>IF(OR(N245="",N246="",N246=0),"",IF(N245="1F",IF(N249&lt;$W$11,$W$11,IF(AND(N249&gt;$W$11,N249&lt;$W$12),$W$12,IF(AND(N249&gt;$W$12,N249&lt;$W$13),$W$13,IF(AND(N249&gt;$W$13,N249&lt;$W$14),$W$14,IF(AND(N249&gt;$W$14,N249&lt;$W$15),$W$15,IF(AND(N249&gt;$W$15,N249&lt;$W$16),$W$16,IF(AND(N249&gt;$W$16,N249&lt;$W$17),$W$17,IF(AND(N249&gt;$W$17,N249&lt;$W$18),$W$18,IF(AND(N249&gt;$W$18,N249&lt;$W$19),$W$19,""))))))))),IF($N$249&lt;$X$11,$X$11,IF(AND(N249&gt;$X$11,N249&lt;$X$12),$X$12,IF(AND(N249&gt;$X$12,N249&lt;$X$13),$X$13,IF(AND(N249&gt;$X$13,N249&lt;$X$14),$X$14,IF(AND(N249&gt;$X$14,N249&lt;$X$15),$X$15,IF(AND(N249&gt;$X$15,N249&lt;$X$16),$X$16,IF(AND(N249&gt;$X$16,N249&lt;$X$17),$X$17,"")))))))))</f>
        <v>50</v>
      </c>
      <c r="U250" s="138" t="s">
        <v>88</v>
      </c>
      <c r="W250" s="138">
        <v>50</v>
      </c>
      <c r="X250" s="138">
        <v>125</v>
      </c>
    </row>
    <row r="251" spans="1:24" ht="15.75" hidden="1" thickBot="1">
      <c r="A251" s="21"/>
      <c r="B251" s="21"/>
      <c r="C251" s="21"/>
      <c r="D251" s="21"/>
      <c r="E251" s="21"/>
      <c r="F251" s="28"/>
      <c r="G251" s="28"/>
      <c r="H251" s="21"/>
      <c r="I251" s="21"/>
      <c r="J251" s="21"/>
      <c r="K251" s="21"/>
      <c r="L251" s="21"/>
      <c r="M251" s="21"/>
      <c r="N251" s="23"/>
      <c r="U251" s="138" t="s">
        <v>89</v>
      </c>
      <c r="W251" s="138">
        <v>75</v>
      </c>
      <c r="X251" s="138">
        <v>150</v>
      </c>
    </row>
    <row r="252" spans="1:24" ht="19.5" hidden="1" thickBot="1">
      <c r="A252" s="46" t="s">
        <v>36</v>
      </c>
      <c r="B252" s="47"/>
      <c r="C252" s="47"/>
      <c r="D252" s="48" t="s">
        <v>37</v>
      </c>
      <c r="E252" s="49"/>
      <c r="F252" s="50"/>
      <c r="G252" s="50"/>
      <c r="H252" s="37"/>
      <c r="I252" s="37"/>
      <c r="J252" s="37"/>
      <c r="K252" s="37"/>
      <c r="L252" s="37"/>
      <c r="M252" s="37"/>
      <c r="N252" s="40"/>
      <c r="U252" s="138" t="s">
        <v>90</v>
      </c>
      <c r="W252" s="138">
        <v>100</v>
      </c>
      <c r="X252" s="138">
        <v>200</v>
      </c>
    </row>
    <row r="253" spans="1:23" ht="15.75" hidden="1" thickBot="1">
      <c r="A253" s="41"/>
      <c r="B253" s="21"/>
      <c r="C253" s="21"/>
      <c r="D253" s="21"/>
      <c r="E253" s="21"/>
      <c r="F253" s="28"/>
      <c r="G253" s="28"/>
      <c r="H253" s="21"/>
      <c r="I253" s="21"/>
      <c r="J253" s="21"/>
      <c r="K253" s="21"/>
      <c r="L253" s="21" t="s">
        <v>196</v>
      </c>
      <c r="M253" s="21"/>
      <c r="N253" s="163"/>
      <c r="U253" s="138" t="s">
        <v>91</v>
      </c>
      <c r="W253" s="138">
        <v>112.5</v>
      </c>
    </row>
    <row r="254" spans="1:23" ht="15.75" hidden="1" thickBot="1">
      <c r="A254" s="44"/>
      <c r="B254" s="34"/>
      <c r="C254" s="34"/>
      <c r="D254" s="34"/>
      <c r="E254" s="34"/>
      <c r="F254" s="45"/>
      <c r="G254" s="45"/>
      <c r="H254" s="34"/>
      <c r="I254" s="34"/>
      <c r="J254" s="34"/>
      <c r="K254" s="34"/>
      <c r="L254" s="113" t="s">
        <v>102</v>
      </c>
      <c r="M254" s="142"/>
      <c r="N254" s="163" t="s">
        <v>150</v>
      </c>
      <c r="W254" s="138">
        <v>125</v>
      </c>
    </row>
    <row r="255" spans="1:14" ht="15.75" hidden="1" thickBot="1">
      <c r="A255" s="21"/>
      <c r="B255" s="21"/>
      <c r="C255" s="21"/>
      <c r="D255" s="21"/>
      <c r="E255" s="21"/>
      <c r="F255" s="28"/>
      <c r="G255" s="28"/>
      <c r="H255" s="21"/>
      <c r="I255" s="21"/>
      <c r="J255" s="21"/>
      <c r="K255" s="21"/>
      <c r="L255" s="21"/>
      <c r="M255" s="21"/>
      <c r="N255" s="23"/>
    </row>
    <row r="256" spans="1:22" ht="15.75" hidden="1" thickBot="1">
      <c r="A256" s="257" t="s">
        <v>38</v>
      </c>
      <c r="B256" s="252"/>
      <c r="C256" s="52" t="s">
        <v>39</v>
      </c>
      <c r="D256" s="52" t="s">
        <v>40</v>
      </c>
      <c r="E256" s="53" t="s">
        <v>41</v>
      </c>
      <c r="F256" s="53" t="s">
        <v>42</v>
      </c>
      <c r="G256" s="257" t="s">
        <v>43</v>
      </c>
      <c r="H256" s="251"/>
      <c r="I256" s="251"/>
      <c r="J256" s="252"/>
      <c r="K256" s="255" t="s">
        <v>44</v>
      </c>
      <c r="L256" s="251" t="s">
        <v>45</v>
      </c>
      <c r="M256" s="251"/>
      <c r="N256" s="252"/>
      <c r="U256" s="237" t="s">
        <v>98</v>
      </c>
      <c r="V256" s="237" t="s">
        <v>99</v>
      </c>
    </row>
    <row r="257" spans="1:22" ht="15.75" hidden="1" thickBot="1">
      <c r="A257" s="52" t="s">
        <v>46</v>
      </c>
      <c r="B257" s="52" t="s">
        <v>47</v>
      </c>
      <c r="C257" s="54" t="s">
        <v>48</v>
      </c>
      <c r="D257" s="54" t="s">
        <v>49</v>
      </c>
      <c r="E257" s="55" t="s">
        <v>50</v>
      </c>
      <c r="F257" s="55" t="s">
        <v>51</v>
      </c>
      <c r="G257" s="56" t="s">
        <v>52</v>
      </c>
      <c r="H257" s="43" t="s">
        <v>105</v>
      </c>
      <c r="I257" s="124" t="s">
        <v>106</v>
      </c>
      <c r="J257" s="43" t="s">
        <v>53</v>
      </c>
      <c r="K257" s="256"/>
      <c r="L257" s="53" t="s">
        <v>54</v>
      </c>
      <c r="M257" s="43" t="s">
        <v>55</v>
      </c>
      <c r="N257" s="57" t="s">
        <v>56</v>
      </c>
      <c r="U257" s="237"/>
      <c r="V257" s="237"/>
    </row>
    <row r="258" spans="1:22" ht="15" hidden="1">
      <c r="A258" s="191" t="str">
        <f>IF(N254="","",N254)</f>
        <v>P30</v>
      </c>
      <c r="B258" s="164" t="s">
        <v>145</v>
      </c>
      <c r="C258" s="165">
        <v>30</v>
      </c>
      <c r="D258" s="165">
        <v>7</v>
      </c>
      <c r="E258" s="166">
        <v>550</v>
      </c>
      <c r="F258" s="193">
        <f>IF($N$243="","",IF($N$243="INDUSTRIAL",IF(OR($D$241="",$D$247=""),"",IF(OR(D258&gt;$D$248,E258&gt;$D$249),"Rev. Total. abona.",IF(D258="",IF(E258="","",E258/(0.92*1000)),IF(OR($D$241="SAN CRISTOBAL",$D$241="FLOREANA"),VLOOKUP(D258,'Estratos SCY - FLO'!$A$4:$M$108,IF($D$247="A1",2,IF($D$247="A",5,IF($D$247="B",8,11))))+E258/(0.92*1000),VLOOKUP(D258,'Estratos SCX - ISA'!$A$3:$M$107,IF($D$247="A1",2,IF($D$247="A",5,IF($D$247="B",8,11))))+E258/(0.92*1000))))),IF(OR($D$241="",$D$247=""),"",IF(OR(D258&gt;$D$248,E258&gt;$D$249),"Rev. Total. abona.",IF(D258="",IF(E258="","",E258/(0.92*1000)),IF(OR($D$241="SAN CRISTOBAL",$D$241="FLOREANA"),VLOOKUP(D258,'Estratos SCY - FLO'!$O$4:$S$108,IF($D$247="A1",2,IF($D$247="A",3,IF($D$247="B",4,5))))+E258/(0.92*1000),VLOOKUP(D258,'Estratos SCX - ISA'!$O$4:$S$108,IF($D$247="A1",2,IF($D$247="A",3,IF($D$247="B",4,5))))+E258/(0.92*1000)))))))</f>
        <v>32.50137866223251</v>
      </c>
      <c r="G258" s="95">
        <f>IF(OR($N$10="",C258=""),"",IF($N$10="1F",1,3))</f>
        <v>1</v>
      </c>
      <c r="H258" s="182" t="s">
        <v>0</v>
      </c>
      <c r="I258" s="182" t="s">
        <v>0</v>
      </c>
      <c r="J258" s="95">
        <f>IF(OR(H258="",$D$10="",$N$10=""),"",IF($D$10="COBRE",VLOOKUP(CDV_PROY_BT!H258,FDV!$B$16:$E$24,IF(CDV_PROY_BT!$N$10="3F",3,4),FALSE),IF($D$10="ACS",VLOOKUP(CDV_PROY_BT!H258,FDV!$B$10:$E$15,IF(CDV_PROY_BT!$N$10="3F",3,4),FALSE),IF($D$10="5005 (PREENSAMBLADO)",VLOOKUP(CDV_PROY_BT!H258,FDV!$B$4:$E$9,IF(CDV_PROY_BT!$N$10="3F",3,4),FALSE),VLOOKUP(CDV_PROY_BT!H258,FDV!$B$25:$E$30,IF(CDV_PROY_BT!$N$10="3F",3,4),FALSE)))))</f>
        <v>412</v>
      </c>
      <c r="K258" s="60">
        <f aca="true" t="shared" si="36" ref="K258:K285">IF(C258="","",ROUND(F258*C258,0))</f>
        <v>975</v>
      </c>
      <c r="L258" s="61">
        <f>IF($N$19="","",IF(C258="","",ROUND(K258/J258,2)))</f>
        <v>2.37</v>
      </c>
      <c r="M258" s="61">
        <f>IF(C258="","",VLOOKUP(A258,$B$258:$N$285,12,FALSE)+L258+N253)</f>
        <v>2.37</v>
      </c>
      <c r="N258" s="154"/>
      <c r="U258" s="138">
        <f>+IF(C258="",0,C258)</f>
        <v>30</v>
      </c>
      <c r="V258" s="138">
        <f>IF(OR(C258="",G258=""),0,C258*G258)</f>
        <v>30</v>
      </c>
    </row>
    <row r="259" spans="1:22" ht="15" hidden="1">
      <c r="A259" s="167" t="s">
        <v>145</v>
      </c>
      <c r="B259" s="168" t="s">
        <v>132</v>
      </c>
      <c r="C259" s="169">
        <v>30</v>
      </c>
      <c r="D259" s="169"/>
      <c r="E259" s="170">
        <v>440</v>
      </c>
      <c r="F259" s="62">
        <f>IF($N$243="","",IF($N$243="INDUSTRIAL",IF(OR($D$241="",$D$247=""),"",IF(OR(D259&gt;$D$248,E259&gt;$D$249),"Rev. Total. abona.",IF(D259="",IF(E259="","",E259/(0.92*1000)),IF(OR($D$241="SAN CRISTOBAL",$D$241="FLOREANA"),VLOOKUP(D259,'Estratos SCY - FLO'!$A$4:$M$108,IF($D$247="A1",2,IF($D$247="A",5,IF($D$247="B",8,11))))+E259/(0.92*1000),VLOOKUP(D259,'Estratos SCX - ISA'!$A$3:$M$107,IF($D$247="A1",2,IF($D$247="A",5,IF($D$247="B",8,11))))+E259/(0.92*1000))))),IF(OR($D$241="",$D$247=""),"",IF(OR(D259&gt;$D$248,E259&gt;$D$249),"Rev. Total. abona.",IF(D259="",IF(E259="","",E259/(0.92*1000)),IF(OR($D$241="SAN CRISTOBAL",$D$241="FLOREANA"),VLOOKUP(D259,'Estratos SCY - FLO'!$O$4:$S$108,IF($D$247="A1",2,IF($D$247="A",3,IF($D$247="B",4,5))))+E259/(0.92*1000),VLOOKUP(D259,'Estratos SCX - ISA'!$O$4:$S$108,IF($D$247="A1",2,IF($D$247="A",3,IF($D$247="B",4,5))))+E259/(0.92*1000)))))))</f>
        <v>0.4782608695652174</v>
      </c>
      <c r="G259" s="59">
        <f aca="true" t="shared" si="37" ref="G259:G285">IF(OR($N$10="",C259=""),"",IF($N$10="1F",1,3))</f>
        <v>1</v>
      </c>
      <c r="H259" s="183" t="s">
        <v>0</v>
      </c>
      <c r="I259" s="183" t="s">
        <v>0</v>
      </c>
      <c r="J259" s="59">
        <f>IF(OR(H259="",$D$10="",$N$10=""),"",IF($D$10="COBRE",VLOOKUP(CDV_PROY_BT!H259,FDV!$B$16:$E$24,IF(CDV_PROY_BT!$N$10="3F",3,4),FALSE),IF($D$10="ACS",VLOOKUP(CDV_PROY_BT!H259,FDV!$B$10:$E$15,IF(CDV_PROY_BT!$N$10="3F",3,4),FALSE),IF($D$10="5005 (PREENSAMBLADO)",VLOOKUP(CDV_PROY_BT!H259,FDV!$B$4:$E$9,IF(CDV_PROY_BT!$N$10="3F",3,4),FALSE),VLOOKUP(CDV_PROY_BT!H259,FDV!$B$25:$E$30,IF(CDV_PROY_BT!$N$10="3F",3,4),FALSE)))))</f>
        <v>412</v>
      </c>
      <c r="K259" s="63">
        <f t="shared" si="36"/>
        <v>14</v>
      </c>
      <c r="L259" s="62">
        <f aca="true" t="shared" si="38" ref="L259:L284">IF($N$19="","",IF(C259="","",ROUND(K259/J259,2)))</f>
        <v>0.03</v>
      </c>
      <c r="M259" s="62">
        <f aca="true" t="shared" si="39" ref="M259:M284">IF(C259="","",VLOOKUP(A259,$B$258:$N$285,12,FALSE)+L259)</f>
        <v>2.4</v>
      </c>
      <c r="N259" s="155"/>
      <c r="U259" s="138">
        <f aca="true" t="shared" si="40" ref="U259:U284">+IF(C259="",0,C259)</f>
        <v>30</v>
      </c>
      <c r="V259" s="138">
        <f aca="true" t="shared" si="41" ref="V259:V284">IF(OR(C259="",G259=""),0,C259*G259)</f>
        <v>30</v>
      </c>
    </row>
    <row r="260" spans="1:22" ht="15" hidden="1">
      <c r="A260" s="167" t="s">
        <v>132</v>
      </c>
      <c r="B260" s="168" t="s">
        <v>146</v>
      </c>
      <c r="C260" s="169">
        <v>34</v>
      </c>
      <c r="D260" s="169"/>
      <c r="E260" s="170">
        <v>220</v>
      </c>
      <c r="F260" s="58">
        <f>IF($N$243="","",IF($N$243="INDUSTRIAL",IF(OR($D$241="",$D$247=""),"",IF(OR(D260&gt;$D$248,E260&gt;$D$249),"Rev. Total. abona.",IF(D260="",IF(E260="","",E260/(0.92*1000)),IF(OR($D$241="SAN CRISTOBAL",$D$241="FLOREANA"),VLOOKUP(D260,'Estratos SCY - FLO'!$A$4:$M$108,IF($D$247="A1",2,IF($D$247="A",5,IF($D$247="B",8,11))))+E260/(0.92*1000),VLOOKUP(D260,'Estratos SCX - ISA'!$A$3:$M$107,IF($D$247="A1",2,IF($D$247="A",5,IF($D$247="B",8,11))))+E260/(0.92*1000))))),IF(OR($D$241="",$D$247=""),"",IF(OR(D260&gt;$D$248,E260&gt;$D$249),"Rev. Total. abona.",IF(D260="",IF(E260="","",E260/(0.92*1000)),IF(OR($D$241="SAN CRISTOBAL",$D$241="FLOREANA"),VLOOKUP(D260,'Estratos SCY - FLO'!$O$4:$S$108,IF($D$247="A1",2,IF($D$247="A",3,IF($D$247="B",4,5))))+E260/(0.92*1000),VLOOKUP(D260,'Estratos SCX - ISA'!$O$4:$S$108,IF($D$247="A1",2,IF($D$247="A",3,IF($D$247="B",4,5))))+E260/(0.92*1000)))))))</f>
        <v>0.2391304347826087</v>
      </c>
      <c r="G260" s="59">
        <f t="shared" si="37"/>
        <v>1</v>
      </c>
      <c r="H260" s="183" t="s">
        <v>0</v>
      </c>
      <c r="I260" s="183" t="s">
        <v>0</v>
      </c>
      <c r="J260" s="59">
        <f>IF(OR(H260="",$D$10="",$N$10=""),"",IF($D$10="COBRE",VLOOKUP(CDV_PROY_BT!H260,FDV!$B$16:$E$24,IF(CDV_PROY_BT!$N$10="3F",3,4),FALSE),IF($D$10="ACS",VLOOKUP(CDV_PROY_BT!H260,FDV!$B$10:$E$15,IF(CDV_PROY_BT!$N$10="3F",3,4),FALSE),IF($D$10="5005 (PREENSAMBLADO)",VLOOKUP(CDV_PROY_BT!H260,FDV!$B$4:$E$9,IF(CDV_PROY_BT!$N$10="3F",3,4),FALSE),VLOOKUP(CDV_PROY_BT!H260,FDV!$B$25:$E$30,IF(CDV_PROY_BT!$N$10="3F",3,4),FALSE)))))</f>
        <v>412</v>
      </c>
      <c r="K260" s="63">
        <f t="shared" si="36"/>
        <v>8</v>
      </c>
      <c r="L260" s="62">
        <f t="shared" si="38"/>
        <v>0.02</v>
      </c>
      <c r="M260" s="62">
        <f t="shared" si="39"/>
        <v>2.42</v>
      </c>
      <c r="N260" s="155"/>
      <c r="U260" s="138">
        <f t="shared" si="40"/>
        <v>34</v>
      </c>
      <c r="V260" s="138">
        <f t="shared" si="41"/>
        <v>34</v>
      </c>
    </row>
    <row r="261" spans="1:22" ht="15" hidden="1">
      <c r="A261" s="167" t="s">
        <v>146</v>
      </c>
      <c r="B261" s="168" t="s">
        <v>147</v>
      </c>
      <c r="C261" s="169">
        <v>35</v>
      </c>
      <c r="D261" s="169"/>
      <c r="E261" s="170">
        <v>110</v>
      </c>
      <c r="F261" s="58">
        <f>IF($N$243="","",IF($N$243="INDUSTRIAL",IF(OR($D$241="",$D$247=""),"",IF(OR(D261&gt;$D$248,E261&gt;$D$249),"Rev. Total. abona.",IF(D261="",IF(E261="","",E261/(0.92*1000)),IF(OR($D$241="SAN CRISTOBAL",$D$241="FLOREANA"),VLOOKUP(D261,'Estratos SCY - FLO'!$A$4:$M$108,IF($D$247="A1",2,IF($D$247="A",5,IF($D$247="B",8,11))))+E261/(0.92*1000),VLOOKUP(D261,'Estratos SCX - ISA'!$A$3:$M$107,IF($D$247="A1",2,IF($D$247="A",5,IF($D$247="B",8,11))))+E261/(0.92*1000))))),IF(OR($D$241="",$D$247=""),"",IF(OR(D261&gt;$D$248,E261&gt;$D$249),"Rev. Total. abona.",IF(D261="",IF(E261="","",E261/(0.92*1000)),IF(OR($D$241="SAN CRISTOBAL",$D$241="FLOREANA"),VLOOKUP(D261,'Estratos SCY - FLO'!$O$4:$S$108,IF($D$247="A1",2,IF($D$247="A",3,IF($D$247="B",4,5))))+E261/(0.92*1000),VLOOKUP(D261,'Estratos SCX - ISA'!$O$4:$S$108,IF($D$247="A1",2,IF($D$247="A",3,IF($D$247="B",4,5))))+E261/(0.92*1000)))))))</f>
        <v>0.11956521739130435</v>
      </c>
      <c r="G261" s="59">
        <f t="shared" si="37"/>
        <v>1</v>
      </c>
      <c r="H261" s="183" t="s">
        <v>0</v>
      </c>
      <c r="I261" s="183" t="s">
        <v>0</v>
      </c>
      <c r="J261" s="59">
        <f>IF(OR(H261="",$D$10="",$N$10=""),"",IF($D$10="COBRE",VLOOKUP(CDV_PROY_BT!H261,FDV!$B$16:$E$24,IF(CDV_PROY_BT!$N$10="3F",3,4),FALSE),IF($D$10="ACS",VLOOKUP(CDV_PROY_BT!H261,FDV!$B$10:$E$15,IF(CDV_PROY_BT!$N$10="3F",3,4),FALSE),IF($D$10="5005 (PREENSAMBLADO)",VLOOKUP(CDV_PROY_BT!H261,FDV!$B$4:$E$9,IF(CDV_PROY_BT!$N$10="3F",3,4),FALSE),VLOOKUP(CDV_PROY_BT!H261,FDV!$B$25:$E$30,IF(CDV_PROY_BT!$N$10="3F",3,4),FALSE)))))</f>
        <v>412</v>
      </c>
      <c r="K261" s="63">
        <f t="shared" si="36"/>
        <v>4</v>
      </c>
      <c r="L261" s="62">
        <f t="shared" si="38"/>
        <v>0.01</v>
      </c>
      <c r="M261" s="62">
        <f t="shared" si="39"/>
        <v>2.4299999999999997</v>
      </c>
      <c r="N261" s="155">
        <f>+M261</f>
        <v>2.4299999999999997</v>
      </c>
      <c r="U261" s="138">
        <f t="shared" si="40"/>
        <v>35</v>
      </c>
      <c r="V261" s="138">
        <f t="shared" si="41"/>
        <v>35</v>
      </c>
    </row>
    <row r="262" spans="1:22" ht="15" hidden="1">
      <c r="A262" s="167"/>
      <c r="B262" s="168"/>
      <c r="C262" s="169"/>
      <c r="D262" s="169"/>
      <c r="E262" s="170"/>
      <c r="F262" s="58" t="str">
        <f>IF($N$243="","",IF($N$243="INDUSTRIAL",IF(OR($D$241="",$D$247=""),"",IF(OR(D262&gt;$D$248,E262&gt;$D$249),"Rev. Total. abona.",IF(D262="",IF(E262="","",E262/(0.92*1000)),IF(OR($D$241="SAN CRISTOBAL",$D$241="FLOREANA"),VLOOKUP(D262,'Estratos SCY - FLO'!$A$4:$M$108,IF($D$247="A1",2,IF($D$247="A",5,IF($D$247="B",8,11))))+E262/(0.92*1000),VLOOKUP(D262,'Estratos SCX - ISA'!$A$3:$M$107,IF($D$247="A1",2,IF($D$247="A",5,IF($D$247="B",8,11))))+E262/(0.92*1000))))),IF(OR($D$241="",$D$247=""),"",IF(OR(D262&gt;$D$248,E262&gt;$D$249),"Rev. Total. abona.",IF(D262="",IF(E262="","",E262/(0.92*1000)),IF(OR($D$241="SAN CRISTOBAL",$D$241="FLOREANA"),VLOOKUP(D262,'Estratos SCY - FLO'!$O$4:$S$108,IF($D$247="A1",2,IF($D$247="A",3,IF($D$247="B",4,5))))+E262/(0.92*1000),VLOOKUP(D262,'Estratos SCX - ISA'!$O$4:$S$108,IF($D$247="A1",2,IF($D$247="A",3,IF($D$247="B",4,5))))+E262/(0.92*1000)))))))</f>
        <v/>
      </c>
      <c r="G262" s="59" t="str">
        <f t="shared" si="37"/>
        <v/>
      </c>
      <c r="H262" s="183"/>
      <c r="I262" s="183"/>
      <c r="J262" s="59" t="str">
        <f>IF(OR(H262="",$D$10="",$N$10=""),"",IF($D$10="COBRE",VLOOKUP(CDV_PROY_BT!H262,FDV!$B$16:$E$24,IF(CDV_PROY_BT!$N$10="3F",3,4),FALSE),IF($D$10="ACS",VLOOKUP(CDV_PROY_BT!H262,FDV!$B$10:$E$15,IF(CDV_PROY_BT!$N$10="3F",3,4),FALSE),IF($D$10="5005 (PREENSAMBLADO)",VLOOKUP(CDV_PROY_BT!H262,FDV!$B$4:$E$9,IF(CDV_PROY_BT!$N$10="3F",3,4),FALSE),VLOOKUP(CDV_PROY_BT!H262,FDV!$B$25:$E$30,IF(CDV_PROY_BT!$N$10="3F",3,4),FALSE)))))</f>
        <v/>
      </c>
      <c r="K262" s="63" t="str">
        <f t="shared" si="36"/>
        <v/>
      </c>
      <c r="L262" s="62" t="str">
        <f t="shared" si="38"/>
        <v/>
      </c>
      <c r="M262" s="62" t="str">
        <f t="shared" si="39"/>
        <v/>
      </c>
      <c r="N262" s="155"/>
      <c r="U262" s="138">
        <f t="shared" si="40"/>
        <v>0</v>
      </c>
      <c r="V262" s="138">
        <f t="shared" si="41"/>
        <v>0</v>
      </c>
    </row>
    <row r="263" spans="1:22" ht="15" hidden="1">
      <c r="A263" s="167"/>
      <c r="B263" s="168"/>
      <c r="C263" s="169"/>
      <c r="D263" s="169"/>
      <c r="E263" s="170"/>
      <c r="F263" s="58" t="str">
        <f>IF($N$243="","",IF($N$243="INDUSTRIAL",IF(OR($D$241="",$D$247=""),"",IF(OR(D263&gt;$D$248,E263&gt;$D$249),"Rev. Total. abona.",IF(D263="",IF(E263="","",E263/(0.92*1000)),IF(OR($D$241="SAN CRISTOBAL",$D$241="FLOREANA"),VLOOKUP(D263,'Estratos SCY - FLO'!$A$4:$M$108,IF($D$247="A1",2,IF($D$247="A",5,IF($D$247="B",8,11))))+E263/(0.92*1000),VLOOKUP(D263,'Estratos SCX - ISA'!$A$3:$M$107,IF($D$247="A1",2,IF($D$247="A",5,IF($D$247="B",8,11))))+E263/(0.92*1000))))),IF(OR($D$241="",$D$247=""),"",IF(OR(D263&gt;$D$248,E263&gt;$D$249),"Rev. Total. abona.",IF(D263="",IF(E263="","",E263/(0.92*1000)),IF(OR($D$241="SAN CRISTOBAL",$D$241="FLOREANA"),VLOOKUP(D263,'Estratos SCY - FLO'!$O$4:$S$108,IF($D$247="A1",2,IF($D$247="A",3,IF($D$247="B",4,5))))+E263/(0.92*1000),VLOOKUP(D263,'Estratos SCX - ISA'!$O$4:$S$108,IF($D$247="A1",2,IF($D$247="A",3,IF($D$247="B",4,5))))+E263/(0.92*1000)))))))</f>
        <v/>
      </c>
      <c r="G263" s="59" t="str">
        <f t="shared" si="37"/>
        <v/>
      </c>
      <c r="H263" s="183"/>
      <c r="I263" s="183"/>
      <c r="J263" s="59" t="str">
        <f>IF(OR(H263="",$D$10="",$N$10=""),"",IF($D$10="COBRE",VLOOKUP(CDV_PROY_BT!H263,FDV!$B$16:$E$24,IF(CDV_PROY_BT!$N$10="3F",3,4),FALSE),IF($D$10="ACS",VLOOKUP(CDV_PROY_BT!H263,FDV!$B$10:$E$15,IF(CDV_PROY_BT!$N$10="3F",3,4),FALSE),IF($D$10="5005 (PREENSAMBLADO)",VLOOKUP(CDV_PROY_BT!H263,FDV!$B$4:$E$9,IF(CDV_PROY_BT!$N$10="3F",3,4),FALSE),VLOOKUP(CDV_PROY_BT!H263,FDV!$B$25:$E$30,IF(CDV_PROY_BT!$N$10="3F",3,4),FALSE)))))</f>
        <v/>
      </c>
      <c r="K263" s="63" t="str">
        <f t="shared" si="36"/>
        <v/>
      </c>
      <c r="L263" s="62" t="str">
        <f t="shared" si="38"/>
        <v/>
      </c>
      <c r="M263" s="62" t="str">
        <f t="shared" si="39"/>
        <v/>
      </c>
      <c r="N263" s="155"/>
      <c r="U263" s="138">
        <f t="shared" si="40"/>
        <v>0</v>
      </c>
      <c r="V263" s="138">
        <f t="shared" si="41"/>
        <v>0</v>
      </c>
    </row>
    <row r="264" spans="1:22" ht="15" hidden="1">
      <c r="A264" s="167"/>
      <c r="B264" s="168"/>
      <c r="C264" s="169"/>
      <c r="D264" s="169"/>
      <c r="E264" s="170"/>
      <c r="F264" s="58" t="str">
        <f>IF($N$243="","",IF($N$243="INDUSTRIAL",IF(OR($D$241="",$D$247=""),"",IF(OR(D264&gt;$D$248,E264&gt;$D$249),"Rev. Total. abona.",IF(D264="",IF(E264="","",E264/(0.92*1000)),IF(OR($D$241="SAN CRISTOBAL",$D$241="FLOREANA"),VLOOKUP(D264,'Estratos SCY - FLO'!$A$4:$M$108,IF($D$247="A1",2,IF($D$247="A",5,IF($D$247="B",8,11))))+E264/(0.92*1000),VLOOKUP(D264,'Estratos SCX - ISA'!$A$3:$M$107,IF($D$247="A1",2,IF($D$247="A",5,IF($D$247="B",8,11))))+E264/(0.92*1000))))),IF(OR($D$241="",$D$247=""),"",IF(OR(D264&gt;$D$248,E264&gt;$D$249),"Rev. Total. abona.",IF(D264="",IF(E264="","",E264/(0.92*1000)),IF(OR($D$241="SAN CRISTOBAL",$D$241="FLOREANA"),VLOOKUP(D264,'Estratos SCY - FLO'!$O$4:$S$108,IF($D$247="A1",2,IF($D$247="A",3,IF($D$247="B",4,5))))+E264/(0.92*1000),VLOOKUP(D264,'Estratos SCX - ISA'!$O$4:$S$108,IF($D$247="A1",2,IF($D$247="A",3,IF($D$247="B",4,5))))+E264/(0.92*1000)))))))</f>
        <v/>
      </c>
      <c r="G264" s="59" t="str">
        <f t="shared" si="37"/>
        <v/>
      </c>
      <c r="H264" s="183"/>
      <c r="I264" s="183"/>
      <c r="J264" s="59" t="str">
        <f>IF(OR(H264="",$D$10="",$N$10=""),"",IF($D$10="COBRE",VLOOKUP(CDV_PROY_BT!H264,FDV!$B$16:$E$24,IF(CDV_PROY_BT!$N$10="3F",3,4),FALSE),IF($D$10="ACS",VLOOKUP(CDV_PROY_BT!H264,FDV!$B$10:$E$15,IF(CDV_PROY_BT!$N$10="3F",3,4),FALSE),IF($D$10="5005 (PREENSAMBLADO)",VLOOKUP(CDV_PROY_BT!H264,FDV!$B$4:$E$9,IF(CDV_PROY_BT!$N$10="3F",3,4),FALSE),VLOOKUP(CDV_PROY_BT!H264,FDV!$B$25:$E$30,IF(CDV_PROY_BT!$N$10="3F",3,4),FALSE)))))</f>
        <v/>
      </c>
      <c r="K264" s="63" t="str">
        <f t="shared" si="36"/>
        <v/>
      </c>
      <c r="L264" s="62" t="str">
        <f t="shared" si="38"/>
        <v/>
      </c>
      <c r="M264" s="62" t="str">
        <f t="shared" si="39"/>
        <v/>
      </c>
      <c r="N264" s="155"/>
      <c r="U264" s="138">
        <f t="shared" si="40"/>
        <v>0</v>
      </c>
      <c r="V264" s="138">
        <f t="shared" si="41"/>
        <v>0</v>
      </c>
    </row>
    <row r="265" spans="1:22" ht="15" hidden="1">
      <c r="A265" s="167"/>
      <c r="B265" s="168"/>
      <c r="C265" s="169"/>
      <c r="D265" s="169"/>
      <c r="E265" s="170"/>
      <c r="F265" s="58" t="str">
        <f>IF($N$243="","",IF($N$243="INDUSTRIAL",IF(OR($D$241="",$D$247=""),"",IF(OR(D265&gt;$D$248,E265&gt;$D$249),"Rev. Total. abona.",IF(D265="",IF(E265="","",E265/(0.92*1000)),IF(OR($D$241="SAN CRISTOBAL",$D$241="FLOREANA"),VLOOKUP(D265,'Estratos SCY - FLO'!$A$4:$M$108,IF($D$247="A1",2,IF($D$247="A",5,IF($D$247="B",8,11))))+E265/(0.92*1000),VLOOKUP(D265,'Estratos SCX - ISA'!$A$3:$M$107,IF($D$247="A1",2,IF($D$247="A",5,IF($D$247="B",8,11))))+E265/(0.92*1000))))),IF(OR($D$241="",$D$247=""),"",IF(OR(D265&gt;$D$248,E265&gt;$D$249),"Rev. Total. abona.",IF(D265="",IF(E265="","",E265/(0.92*1000)),IF(OR($D$241="SAN CRISTOBAL",$D$241="FLOREANA"),VLOOKUP(D265,'Estratos SCY - FLO'!$O$4:$S$108,IF($D$247="A1",2,IF($D$247="A",3,IF($D$247="B",4,5))))+E265/(0.92*1000),VLOOKUP(D265,'Estratos SCX - ISA'!$O$4:$S$108,IF($D$247="A1",2,IF($D$247="A",3,IF($D$247="B",4,5))))+E265/(0.92*1000)))))))</f>
        <v/>
      </c>
      <c r="G265" s="59" t="str">
        <f t="shared" si="37"/>
        <v/>
      </c>
      <c r="H265" s="183"/>
      <c r="I265" s="183"/>
      <c r="J265" s="59" t="str">
        <f>IF(OR(H265="",$D$10="",$N$10=""),"",IF($D$10="COBRE",VLOOKUP(CDV_PROY_BT!H265,FDV!$B$16:$E$24,IF(CDV_PROY_BT!$N$10="3F",3,4),FALSE),IF($D$10="ACS",VLOOKUP(CDV_PROY_BT!H265,FDV!$B$10:$E$15,IF(CDV_PROY_BT!$N$10="3F",3,4),FALSE),IF($D$10="5005 (PREENSAMBLADO)",VLOOKUP(CDV_PROY_BT!H265,FDV!$B$4:$E$9,IF(CDV_PROY_BT!$N$10="3F",3,4),FALSE),VLOOKUP(CDV_PROY_BT!H265,FDV!$B$25:$E$30,IF(CDV_PROY_BT!$N$10="3F",3,4),FALSE)))))</f>
        <v/>
      </c>
      <c r="K265" s="63" t="str">
        <f t="shared" si="36"/>
        <v/>
      </c>
      <c r="L265" s="62" t="str">
        <f t="shared" si="38"/>
        <v/>
      </c>
      <c r="M265" s="62" t="str">
        <f t="shared" si="39"/>
        <v/>
      </c>
      <c r="N265" s="155"/>
      <c r="U265" s="138">
        <f t="shared" si="40"/>
        <v>0</v>
      </c>
      <c r="V265" s="138">
        <f t="shared" si="41"/>
        <v>0</v>
      </c>
    </row>
    <row r="266" spans="1:22" ht="15" hidden="1">
      <c r="A266" s="171"/>
      <c r="B266" s="172"/>
      <c r="C266" s="173"/>
      <c r="D266" s="173"/>
      <c r="E266" s="170"/>
      <c r="F266" s="58" t="str">
        <f>IF($N$243="","",IF($N$243="INDUSTRIAL",IF(OR($D$241="",$D$247=""),"",IF(OR(D266&gt;$D$248,E266&gt;$D$249),"Rev. Total. abona.",IF(D266="",IF(E266="","",E266/(0.92*1000)),IF(OR($D$241="SAN CRISTOBAL",$D$241="FLOREANA"),VLOOKUP(D266,'Estratos SCY - FLO'!$A$4:$M$108,IF($D$247="A1",2,IF($D$247="A",5,IF($D$247="B",8,11))))+E266/(0.92*1000),VLOOKUP(D266,'Estratos SCX - ISA'!$A$3:$M$107,IF($D$247="A1",2,IF($D$247="A",5,IF($D$247="B",8,11))))+E266/(0.92*1000))))),IF(OR($D$241="",$D$247=""),"",IF(OR(D266&gt;$D$248,E266&gt;$D$249),"Rev. Total. abona.",IF(D266="",IF(E266="","",E266/(0.92*1000)),IF(OR($D$241="SAN CRISTOBAL",$D$241="FLOREANA"),VLOOKUP(D266,'Estratos SCY - FLO'!$O$4:$S$108,IF($D$247="A1",2,IF($D$247="A",3,IF($D$247="B",4,5))))+E266/(0.92*1000),VLOOKUP(D266,'Estratos SCX - ISA'!$O$4:$S$108,IF($D$247="A1",2,IF($D$247="A",3,IF($D$247="B",4,5))))+E266/(0.92*1000)))))))</f>
        <v/>
      </c>
      <c r="G266" s="59" t="str">
        <f t="shared" si="37"/>
        <v/>
      </c>
      <c r="H266" s="183"/>
      <c r="I266" s="183"/>
      <c r="J266" s="59" t="str">
        <f>IF(OR(H266="",$D$10="",$N$10=""),"",IF($D$10="COBRE",VLOOKUP(CDV_PROY_BT!H266,FDV!$B$16:$E$24,IF(CDV_PROY_BT!$N$10="3F",3,4),FALSE),IF($D$10="ACS",VLOOKUP(CDV_PROY_BT!H266,FDV!$B$10:$E$15,IF(CDV_PROY_BT!$N$10="3F",3,4),FALSE),IF($D$10="5005 (PREENSAMBLADO)",VLOOKUP(CDV_PROY_BT!H266,FDV!$B$4:$E$9,IF(CDV_PROY_BT!$N$10="3F",3,4),FALSE),VLOOKUP(CDV_PROY_BT!H266,FDV!$B$25:$E$30,IF(CDV_PROY_BT!$N$10="3F",3,4),FALSE)))))</f>
        <v/>
      </c>
      <c r="K266" s="63" t="str">
        <f t="shared" si="36"/>
        <v/>
      </c>
      <c r="L266" s="62" t="str">
        <f t="shared" si="38"/>
        <v/>
      </c>
      <c r="M266" s="62" t="str">
        <f t="shared" si="39"/>
        <v/>
      </c>
      <c r="N266" s="155"/>
      <c r="U266" s="138">
        <f t="shared" si="40"/>
        <v>0</v>
      </c>
      <c r="V266" s="138">
        <f t="shared" si="41"/>
        <v>0</v>
      </c>
    </row>
    <row r="267" spans="1:22" ht="15" hidden="1">
      <c r="A267" s="167"/>
      <c r="B267" s="168"/>
      <c r="C267" s="169"/>
      <c r="D267" s="169"/>
      <c r="E267" s="174"/>
      <c r="F267" s="58" t="str">
        <f>IF($N$243="","",IF($N$243="INDUSTRIAL",IF(OR($D$241="",$D$247=""),"",IF(OR(D267&gt;$D$248,E267&gt;$D$249),"Rev. Total. abona.",IF(D267="",IF(E267="","",E267/(0.92*1000)),IF(OR($D$241="SAN CRISTOBAL",$D$241="FLOREANA"),VLOOKUP(D267,'Estratos SCY - FLO'!$A$4:$M$108,IF($D$247="A1",2,IF($D$247="A",5,IF($D$247="B",8,11))))+E267/(0.92*1000),VLOOKUP(D267,'Estratos SCX - ISA'!$A$3:$M$107,IF($D$247="A1",2,IF($D$247="A",5,IF($D$247="B",8,11))))+E267/(0.92*1000))))),IF(OR($D$241="",$D$247=""),"",IF(OR(D267&gt;$D$248,E267&gt;$D$249),"Rev. Total. abona.",IF(D267="",IF(E267="","",E267/(0.92*1000)),IF(OR($D$241="SAN CRISTOBAL",$D$241="FLOREANA"),VLOOKUP(D267,'Estratos SCY - FLO'!$O$4:$S$108,IF($D$247="A1",2,IF($D$247="A",3,IF($D$247="B",4,5))))+E267/(0.92*1000),VLOOKUP(D267,'Estratos SCX - ISA'!$O$4:$S$108,IF($D$247="A1",2,IF($D$247="A",3,IF($D$247="B",4,5))))+E267/(0.92*1000)))))))</f>
        <v/>
      </c>
      <c r="G267" s="59" t="str">
        <f t="shared" si="37"/>
        <v/>
      </c>
      <c r="H267" s="183"/>
      <c r="I267" s="183"/>
      <c r="J267" s="59" t="str">
        <f>IF(OR(H267="",$D$10="",$N$10=""),"",IF($D$10="COBRE",VLOOKUP(CDV_PROY_BT!H267,FDV!$B$16:$E$24,IF(CDV_PROY_BT!$N$10="3F",3,4),FALSE),IF($D$10="ACS",VLOOKUP(CDV_PROY_BT!H267,FDV!$B$10:$E$15,IF(CDV_PROY_BT!$N$10="3F",3,4),FALSE),IF($D$10="5005 (PREENSAMBLADO)",VLOOKUP(CDV_PROY_BT!H267,FDV!$B$4:$E$9,IF(CDV_PROY_BT!$N$10="3F",3,4),FALSE),VLOOKUP(CDV_PROY_BT!H267,FDV!$B$25:$E$30,IF(CDV_PROY_BT!$N$10="3F",3,4),FALSE)))))</f>
        <v/>
      </c>
      <c r="K267" s="63" t="str">
        <f t="shared" si="36"/>
        <v/>
      </c>
      <c r="L267" s="62" t="str">
        <f t="shared" si="38"/>
        <v/>
      </c>
      <c r="M267" s="62" t="str">
        <f t="shared" si="39"/>
        <v/>
      </c>
      <c r="N267" s="155"/>
      <c r="U267" s="138">
        <f t="shared" si="40"/>
        <v>0</v>
      </c>
      <c r="V267" s="138">
        <f t="shared" si="41"/>
        <v>0</v>
      </c>
    </row>
    <row r="268" spans="1:22" ht="15" hidden="1">
      <c r="A268" s="175"/>
      <c r="B268" s="176"/>
      <c r="C268" s="177"/>
      <c r="D268" s="177"/>
      <c r="E268" s="170"/>
      <c r="F268" s="58" t="str">
        <f>IF($N$243="","",IF($N$243="INDUSTRIAL",IF(OR($D$241="",$D$247=""),"",IF(OR(D268&gt;$D$248,E268&gt;$D$249),"Rev. Total. abona.",IF(D268="",IF(E268="","",E268/(0.92*1000)),IF(OR($D$241="SAN CRISTOBAL",$D$241="FLOREANA"),VLOOKUP(D268,'Estratos SCY - FLO'!$A$4:$M$108,IF($D$247="A1",2,IF($D$247="A",5,IF($D$247="B",8,11))))+E268/(0.92*1000),VLOOKUP(D268,'Estratos SCX - ISA'!$A$3:$M$107,IF($D$247="A1",2,IF($D$247="A",5,IF($D$247="B",8,11))))+E268/(0.92*1000))))),IF(OR($D$241="",$D$247=""),"",IF(OR(D268&gt;$D$248,E268&gt;$D$249),"Rev. Total. abona.",IF(D268="",IF(E268="","",E268/(0.92*1000)),IF(OR($D$241="SAN CRISTOBAL",$D$241="FLOREANA"),VLOOKUP(D268,'Estratos SCY - FLO'!$O$4:$S$108,IF($D$247="A1",2,IF($D$247="A",3,IF($D$247="B",4,5))))+E268/(0.92*1000),VLOOKUP(D268,'Estratos SCX - ISA'!$O$4:$S$108,IF($D$247="A1",2,IF($D$247="A",3,IF($D$247="B",4,5))))+E268/(0.92*1000)))))))</f>
        <v/>
      </c>
      <c r="G268" s="59" t="str">
        <f t="shared" si="37"/>
        <v/>
      </c>
      <c r="H268" s="183"/>
      <c r="I268" s="183"/>
      <c r="J268" s="59" t="str">
        <f>IF(OR(H268="",$D$10="",$N$10=""),"",IF($D$10="COBRE",VLOOKUP(CDV_PROY_BT!H268,FDV!$B$16:$E$24,IF(CDV_PROY_BT!$N$10="3F",3,4),FALSE),IF($D$10="ACS",VLOOKUP(CDV_PROY_BT!H268,FDV!$B$10:$E$15,IF(CDV_PROY_BT!$N$10="3F",3,4),FALSE),IF($D$10="5005 (PREENSAMBLADO)",VLOOKUP(CDV_PROY_BT!H268,FDV!$B$4:$E$9,IF(CDV_PROY_BT!$N$10="3F",3,4),FALSE),VLOOKUP(CDV_PROY_BT!H268,FDV!$B$25:$E$30,IF(CDV_PROY_BT!$N$10="3F",3,4),FALSE)))))</f>
        <v/>
      </c>
      <c r="K268" s="63" t="str">
        <f t="shared" si="36"/>
        <v/>
      </c>
      <c r="L268" s="62" t="str">
        <f t="shared" si="38"/>
        <v/>
      </c>
      <c r="M268" s="62" t="str">
        <f t="shared" si="39"/>
        <v/>
      </c>
      <c r="N268" s="155"/>
      <c r="U268" s="138">
        <f t="shared" si="40"/>
        <v>0</v>
      </c>
      <c r="V268" s="138">
        <f t="shared" si="41"/>
        <v>0</v>
      </c>
    </row>
    <row r="269" spans="1:22" ht="15" hidden="1">
      <c r="A269" s="167"/>
      <c r="B269" s="168"/>
      <c r="C269" s="169"/>
      <c r="D269" s="169"/>
      <c r="E269" s="170"/>
      <c r="F269" s="58" t="str">
        <f>IF($N$243="","",IF($N$243="INDUSTRIAL",IF(OR($D$241="",$D$247=""),"",IF(OR(D269&gt;$D$248,E269&gt;$D$249),"Rev. Total. abona.",IF(D269="",IF(E269="","",E269/(0.92*1000)),IF(OR($D$241="SAN CRISTOBAL",$D$241="FLOREANA"),VLOOKUP(D269,'Estratos SCY - FLO'!$A$4:$M$108,IF($D$247="A1",2,IF($D$247="A",5,IF($D$247="B",8,11))))+E269/(0.92*1000),VLOOKUP(D269,'Estratos SCX - ISA'!$A$3:$M$107,IF($D$247="A1",2,IF($D$247="A",5,IF($D$247="B",8,11))))+E269/(0.92*1000))))),IF(OR($D$241="",$D$247=""),"",IF(OR(D269&gt;$D$248,E269&gt;$D$249),"Rev. Total. abona.",IF(D269="",IF(E269="","",E269/(0.92*1000)),IF(OR($D$241="SAN CRISTOBAL",$D$241="FLOREANA"),VLOOKUP(D269,'Estratos SCY - FLO'!$O$4:$S$108,IF($D$247="A1",2,IF($D$247="A",3,IF($D$247="B",4,5))))+E269/(0.92*1000),VLOOKUP(D269,'Estratos SCX - ISA'!$O$4:$S$108,IF($D$247="A1",2,IF($D$247="A",3,IF($D$247="B",4,5))))+E269/(0.92*1000)))))))</f>
        <v/>
      </c>
      <c r="G269" s="59" t="str">
        <f t="shared" si="37"/>
        <v/>
      </c>
      <c r="H269" s="183"/>
      <c r="I269" s="183"/>
      <c r="J269" s="59" t="str">
        <f>IF(OR(H269="",$D$10="",$N$10=""),"",IF($D$10="COBRE",VLOOKUP(CDV_PROY_BT!H269,FDV!$B$16:$E$24,IF(CDV_PROY_BT!$N$10="3F",3,4),FALSE),IF($D$10="ACS",VLOOKUP(CDV_PROY_BT!H269,FDV!$B$10:$E$15,IF(CDV_PROY_BT!$N$10="3F",3,4),FALSE),IF($D$10="5005 (PREENSAMBLADO)",VLOOKUP(CDV_PROY_BT!H269,FDV!$B$4:$E$9,IF(CDV_PROY_BT!$N$10="3F",3,4),FALSE),VLOOKUP(CDV_PROY_BT!H269,FDV!$B$25:$E$30,IF(CDV_PROY_BT!$N$10="3F",3,4),FALSE)))))</f>
        <v/>
      </c>
      <c r="K269" s="63" t="str">
        <f t="shared" si="36"/>
        <v/>
      </c>
      <c r="L269" s="62" t="str">
        <f t="shared" si="38"/>
        <v/>
      </c>
      <c r="M269" s="62" t="str">
        <f t="shared" si="39"/>
        <v/>
      </c>
      <c r="N269" s="155"/>
      <c r="U269" s="138">
        <f t="shared" si="40"/>
        <v>0</v>
      </c>
      <c r="V269" s="138">
        <f t="shared" si="41"/>
        <v>0</v>
      </c>
    </row>
    <row r="270" spans="1:22" ht="15" hidden="1">
      <c r="A270" s="167"/>
      <c r="B270" s="168"/>
      <c r="C270" s="169"/>
      <c r="D270" s="169"/>
      <c r="E270" s="170"/>
      <c r="F270" s="58" t="str">
        <f>IF($N$243="","",IF($N$243="INDUSTRIAL",IF(OR($D$241="",$D$247=""),"",IF(OR(D270&gt;$D$248,E270&gt;$D$249),"Rev. Total. abona.",IF(D270="",IF(E270="","",E270/(0.92*1000)),IF(OR($D$241="SAN CRISTOBAL",$D$241="FLOREANA"),VLOOKUP(D270,'Estratos SCY - FLO'!$A$4:$M$108,IF($D$247="A1",2,IF($D$247="A",5,IF($D$247="B",8,11))))+E270/(0.92*1000),VLOOKUP(D270,'Estratos SCX - ISA'!$A$3:$M$107,IF($D$247="A1",2,IF($D$247="A",5,IF($D$247="B",8,11))))+E270/(0.92*1000))))),IF(OR($D$241="",$D$247=""),"",IF(OR(D270&gt;$D$248,E270&gt;$D$249),"Rev. Total. abona.",IF(D270="",IF(E270="","",E270/(0.92*1000)),IF(OR($D$241="SAN CRISTOBAL",$D$241="FLOREANA"),VLOOKUP(D270,'Estratos SCY - FLO'!$O$4:$S$108,IF($D$247="A1",2,IF($D$247="A",3,IF($D$247="B",4,5))))+E270/(0.92*1000),VLOOKUP(D270,'Estratos SCX - ISA'!$O$4:$S$108,IF($D$247="A1",2,IF($D$247="A",3,IF($D$247="B",4,5))))+E270/(0.92*1000)))))))</f>
        <v/>
      </c>
      <c r="G270" s="59" t="str">
        <f t="shared" si="37"/>
        <v/>
      </c>
      <c r="H270" s="183"/>
      <c r="I270" s="183"/>
      <c r="J270" s="59" t="str">
        <f>IF(OR(H270="",$D$10="",$N$10=""),"",IF($D$10="COBRE",VLOOKUP(CDV_PROY_BT!H270,FDV!$B$16:$E$24,IF(CDV_PROY_BT!$N$10="3F",3,4),FALSE),IF($D$10="ACS",VLOOKUP(CDV_PROY_BT!H270,FDV!$B$10:$E$15,IF(CDV_PROY_BT!$N$10="3F",3,4),FALSE),IF($D$10="5005 (PREENSAMBLADO)",VLOOKUP(CDV_PROY_BT!H270,FDV!$B$4:$E$9,IF(CDV_PROY_BT!$N$10="3F",3,4),FALSE),VLOOKUP(CDV_PROY_BT!H270,FDV!$B$25:$E$30,IF(CDV_PROY_BT!$N$10="3F",3,4),FALSE)))))</f>
        <v/>
      </c>
      <c r="K270" s="63" t="str">
        <f t="shared" si="36"/>
        <v/>
      </c>
      <c r="L270" s="62" t="str">
        <f t="shared" si="38"/>
        <v/>
      </c>
      <c r="M270" s="62" t="str">
        <f t="shared" si="39"/>
        <v/>
      </c>
      <c r="N270" s="155"/>
      <c r="U270" s="138">
        <f t="shared" si="40"/>
        <v>0</v>
      </c>
      <c r="V270" s="138">
        <f t="shared" si="41"/>
        <v>0</v>
      </c>
    </row>
    <row r="271" spans="1:22" ht="15" hidden="1">
      <c r="A271" s="167"/>
      <c r="B271" s="168"/>
      <c r="C271" s="169"/>
      <c r="D271" s="169"/>
      <c r="E271" s="170"/>
      <c r="F271" s="58" t="str">
        <f>IF($N$243="","",IF($N$243="INDUSTRIAL",IF(OR($D$241="",$D$247=""),"",IF(OR(D271&gt;$D$248,E271&gt;$D$249),"Rev. Total. abona.",IF(D271="",IF(E271="","",E271/(0.92*1000)),IF(OR($D$241="SAN CRISTOBAL",$D$241="FLOREANA"),VLOOKUP(D271,'Estratos SCY - FLO'!$A$4:$M$108,IF($D$247="A1",2,IF($D$247="A",5,IF($D$247="B",8,11))))+E271/(0.92*1000),VLOOKUP(D271,'Estratos SCX - ISA'!$A$3:$M$107,IF($D$247="A1",2,IF($D$247="A",5,IF($D$247="B",8,11))))+E271/(0.92*1000))))),IF(OR($D$241="",$D$247=""),"",IF(OR(D271&gt;$D$248,E271&gt;$D$249),"Rev. Total. abona.",IF(D271="",IF(E271="","",E271/(0.92*1000)),IF(OR($D$241="SAN CRISTOBAL",$D$241="FLOREANA"),VLOOKUP(D271,'Estratos SCY - FLO'!$O$4:$S$108,IF($D$247="A1",2,IF($D$247="A",3,IF($D$247="B",4,5))))+E271/(0.92*1000),VLOOKUP(D271,'Estratos SCX - ISA'!$O$4:$S$108,IF($D$247="A1",2,IF($D$247="A",3,IF($D$247="B",4,5))))+E271/(0.92*1000)))))))</f>
        <v/>
      </c>
      <c r="G271" s="59" t="str">
        <f t="shared" si="37"/>
        <v/>
      </c>
      <c r="H271" s="183"/>
      <c r="I271" s="183"/>
      <c r="J271" s="59" t="str">
        <f>IF(OR(H271="",$D$10="",$N$10=""),"",IF($D$10="COBRE",VLOOKUP(CDV_PROY_BT!H271,FDV!$B$16:$E$24,IF(CDV_PROY_BT!$N$10="3F",3,4),FALSE),IF($D$10="ACS",VLOOKUP(CDV_PROY_BT!H271,FDV!$B$10:$E$15,IF(CDV_PROY_BT!$N$10="3F",3,4),FALSE),IF($D$10="5005 (PREENSAMBLADO)",VLOOKUP(CDV_PROY_BT!H271,FDV!$B$4:$E$9,IF(CDV_PROY_BT!$N$10="3F",3,4),FALSE),VLOOKUP(CDV_PROY_BT!H271,FDV!$B$25:$E$30,IF(CDV_PROY_BT!$N$10="3F",3,4),FALSE)))))</f>
        <v/>
      </c>
      <c r="K271" s="63" t="str">
        <f t="shared" si="36"/>
        <v/>
      </c>
      <c r="L271" s="62" t="str">
        <f t="shared" si="38"/>
        <v/>
      </c>
      <c r="M271" s="62" t="str">
        <f t="shared" si="39"/>
        <v/>
      </c>
      <c r="N271" s="155"/>
      <c r="U271" s="138">
        <f t="shared" si="40"/>
        <v>0</v>
      </c>
      <c r="V271" s="138">
        <f t="shared" si="41"/>
        <v>0</v>
      </c>
    </row>
    <row r="272" spans="1:22" ht="15" hidden="1">
      <c r="A272" s="167"/>
      <c r="B272" s="168"/>
      <c r="C272" s="169"/>
      <c r="D272" s="169"/>
      <c r="E272" s="170"/>
      <c r="F272" s="58" t="str">
        <f>IF($N$243="","",IF($N$243="INDUSTRIAL",IF(OR($D$241="",$D$247=""),"",IF(OR(D272&gt;$D$248,E272&gt;$D$249),"Rev. Total. abona.",IF(D272="",IF(E272="","",E272/(0.92*1000)),IF(OR($D$241="SAN CRISTOBAL",$D$241="FLOREANA"),VLOOKUP(D272,'Estratos SCY - FLO'!$A$4:$M$108,IF($D$247="A1",2,IF($D$247="A",5,IF($D$247="B",8,11))))+E272/(0.92*1000),VLOOKUP(D272,'Estratos SCX - ISA'!$A$3:$M$107,IF($D$247="A1",2,IF($D$247="A",5,IF($D$247="B",8,11))))+E272/(0.92*1000))))),IF(OR($D$241="",$D$247=""),"",IF(OR(D272&gt;$D$248,E272&gt;$D$249),"Rev. Total. abona.",IF(D272="",IF(E272="","",E272/(0.92*1000)),IF(OR($D$241="SAN CRISTOBAL",$D$241="FLOREANA"),VLOOKUP(D272,'Estratos SCY - FLO'!$O$4:$S$108,IF($D$247="A1",2,IF($D$247="A",3,IF($D$247="B",4,5))))+E272/(0.92*1000),VLOOKUP(D272,'Estratos SCX - ISA'!$O$4:$S$108,IF($D$247="A1",2,IF($D$247="A",3,IF($D$247="B",4,5))))+E272/(0.92*1000)))))))</f>
        <v/>
      </c>
      <c r="G272" s="59" t="str">
        <f t="shared" si="37"/>
        <v/>
      </c>
      <c r="H272" s="183"/>
      <c r="I272" s="183"/>
      <c r="J272" s="59" t="str">
        <f>IF(OR(H272="",$D$10="",$N$10=""),"",IF($D$10="COBRE",VLOOKUP(CDV_PROY_BT!H272,FDV!$B$16:$E$24,IF(CDV_PROY_BT!$N$10="3F",3,4),FALSE),IF($D$10="ACS",VLOOKUP(CDV_PROY_BT!H272,FDV!$B$10:$E$15,IF(CDV_PROY_BT!$N$10="3F",3,4),FALSE),IF($D$10="5005 (PREENSAMBLADO)",VLOOKUP(CDV_PROY_BT!H272,FDV!$B$4:$E$9,IF(CDV_PROY_BT!$N$10="3F",3,4),FALSE),VLOOKUP(CDV_PROY_BT!H272,FDV!$B$25:$E$30,IF(CDV_PROY_BT!$N$10="3F",3,4),FALSE)))))</f>
        <v/>
      </c>
      <c r="K272" s="63" t="str">
        <f t="shared" si="36"/>
        <v/>
      </c>
      <c r="L272" s="62" t="str">
        <f t="shared" si="38"/>
        <v/>
      </c>
      <c r="M272" s="62" t="str">
        <f t="shared" si="39"/>
        <v/>
      </c>
      <c r="N272" s="155"/>
      <c r="U272" s="138">
        <f t="shared" si="40"/>
        <v>0</v>
      </c>
      <c r="V272" s="138">
        <f t="shared" si="41"/>
        <v>0</v>
      </c>
    </row>
    <row r="273" spans="1:22" ht="15" hidden="1">
      <c r="A273" s="167"/>
      <c r="B273" s="168"/>
      <c r="C273" s="169"/>
      <c r="D273" s="169"/>
      <c r="E273" s="170"/>
      <c r="F273" s="58" t="str">
        <f>IF($N$243="","",IF($N$243="INDUSTRIAL",IF(OR($D$241="",$D$247=""),"",IF(OR(D273&gt;$D$248,E273&gt;$D$249),"Rev. Total. abona.",IF(D273="",IF(E273="","",E273/(0.92*1000)),IF(OR($D$241="SAN CRISTOBAL",$D$241="FLOREANA"),VLOOKUP(D273,'Estratos SCY - FLO'!$A$4:$M$108,IF($D$247="A1",2,IF($D$247="A",5,IF($D$247="B",8,11))))+E273/(0.92*1000),VLOOKUP(D273,'Estratos SCX - ISA'!$A$3:$M$107,IF($D$247="A1",2,IF($D$247="A",5,IF($D$247="B",8,11))))+E273/(0.92*1000))))),IF(OR($D$241="",$D$247=""),"",IF(OR(D273&gt;$D$248,E273&gt;$D$249),"Rev. Total. abona.",IF(D273="",IF(E273="","",E273/(0.92*1000)),IF(OR($D$241="SAN CRISTOBAL",$D$241="FLOREANA"),VLOOKUP(D273,'Estratos SCY - FLO'!$O$4:$S$108,IF($D$247="A1",2,IF($D$247="A",3,IF($D$247="B",4,5))))+E273/(0.92*1000),VLOOKUP(D273,'Estratos SCX - ISA'!$O$4:$S$108,IF($D$247="A1",2,IF($D$247="A",3,IF($D$247="B",4,5))))+E273/(0.92*1000)))))))</f>
        <v/>
      </c>
      <c r="G273" s="59" t="str">
        <f t="shared" si="37"/>
        <v/>
      </c>
      <c r="H273" s="183"/>
      <c r="I273" s="183"/>
      <c r="J273" s="59" t="str">
        <f>IF(OR(H273="",$D$10="",$N$10=""),"",IF($D$10="COBRE",VLOOKUP(CDV_PROY_BT!H273,FDV!$B$16:$E$24,IF(CDV_PROY_BT!$N$10="3F",3,4),FALSE),IF($D$10="ACS",VLOOKUP(CDV_PROY_BT!H273,FDV!$B$10:$E$15,IF(CDV_PROY_BT!$N$10="3F",3,4),FALSE),IF($D$10="5005 (PREENSAMBLADO)",VLOOKUP(CDV_PROY_BT!H273,FDV!$B$4:$E$9,IF(CDV_PROY_BT!$N$10="3F",3,4),FALSE),VLOOKUP(CDV_PROY_BT!H273,FDV!$B$25:$E$30,IF(CDV_PROY_BT!$N$10="3F",3,4),FALSE)))))</f>
        <v/>
      </c>
      <c r="K273" s="63" t="str">
        <f t="shared" si="36"/>
        <v/>
      </c>
      <c r="L273" s="62" t="str">
        <f t="shared" si="38"/>
        <v/>
      </c>
      <c r="M273" s="62" t="str">
        <f t="shared" si="39"/>
        <v/>
      </c>
      <c r="N273" s="155"/>
      <c r="U273" s="138">
        <f t="shared" si="40"/>
        <v>0</v>
      </c>
      <c r="V273" s="138">
        <f t="shared" si="41"/>
        <v>0</v>
      </c>
    </row>
    <row r="274" spans="1:22" ht="15" hidden="1">
      <c r="A274" s="167"/>
      <c r="B274" s="168"/>
      <c r="C274" s="169"/>
      <c r="D274" s="169"/>
      <c r="E274" s="170"/>
      <c r="F274" s="58" t="str">
        <f>IF($N$243="","",IF($N$243="INDUSTRIAL",IF(OR($D$241="",$D$247=""),"",IF(OR(D274&gt;$D$248,E274&gt;$D$249),"Rev. Total. abona.",IF(D274="",IF(E274="","",E274/(0.92*1000)),IF(OR($D$241="SAN CRISTOBAL",$D$241="FLOREANA"),VLOOKUP(D274,'Estratos SCY - FLO'!$A$4:$M$108,IF($D$247="A1",2,IF($D$247="A",5,IF($D$247="B",8,11))))+E274/(0.92*1000),VLOOKUP(D274,'Estratos SCX - ISA'!$A$3:$M$107,IF($D$247="A1",2,IF($D$247="A",5,IF($D$247="B",8,11))))+E274/(0.92*1000))))),IF(OR($D$241="",$D$247=""),"",IF(OR(D274&gt;$D$248,E274&gt;$D$249),"Rev. Total. abona.",IF(D274="",IF(E274="","",E274/(0.92*1000)),IF(OR($D$241="SAN CRISTOBAL",$D$241="FLOREANA"),VLOOKUP(D274,'Estratos SCY - FLO'!$O$4:$S$108,IF($D$247="A1",2,IF($D$247="A",3,IF($D$247="B",4,5))))+E274/(0.92*1000),VLOOKUP(D274,'Estratos SCX - ISA'!$O$4:$S$108,IF($D$247="A1",2,IF($D$247="A",3,IF($D$247="B",4,5))))+E274/(0.92*1000)))))))</f>
        <v/>
      </c>
      <c r="G274" s="59" t="str">
        <f t="shared" si="37"/>
        <v/>
      </c>
      <c r="H274" s="183"/>
      <c r="I274" s="183"/>
      <c r="J274" s="59" t="str">
        <f>IF(OR(H274="",$D$10="",$N$10=""),"",IF($D$10="COBRE",VLOOKUP(CDV_PROY_BT!H274,FDV!$B$16:$E$24,IF(CDV_PROY_BT!$N$10="3F",3,4),FALSE),IF($D$10="ACS",VLOOKUP(CDV_PROY_BT!H274,FDV!$B$10:$E$15,IF(CDV_PROY_BT!$N$10="3F",3,4),FALSE),IF($D$10="5005 (PREENSAMBLADO)",VLOOKUP(CDV_PROY_BT!H274,FDV!$B$4:$E$9,IF(CDV_PROY_BT!$N$10="3F",3,4),FALSE),VLOOKUP(CDV_PROY_BT!H274,FDV!$B$25:$E$30,IF(CDV_PROY_BT!$N$10="3F",3,4),FALSE)))))</f>
        <v/>
      </c>
      <c r="K274" s="63" t="str">
        <f t="shared" si="36"/>
        <v/>
      </c>
      <c r="L274" s="62" t="str">
        <f t="shared" si="38"/>
        <v/>
      </c>
      <c r="M274" s="62" t="str">
        <f t="shared" si="39"/>
        <v/>
      </c>
      <c r="N274" s="155"/>
      <c r="U274" s="138">
        <f t="shared" si="40"/>
        <v>0</v>
      </c>
      <c r="V274" s="138">
        <f t="shared" si="41"/>
        <v>0</v>
      </c>
    </row>
    <row r="275" spans="1:22" ht="15" hidden="1">
      <c r="A275" s="167"/>
      <c r="B275" s="168"/>
      <c r="C275" s="169"/>
      <c r="D275" s="169"/>
      <c r="E275" s="170"/>
      <c r="F275" s="58" t="str">
        <f>IF($N$243="","",IF($N$243="INDUSTRIAL",IF(OR($D$241="",$D$247=""),"",IF(OR(D275&gt;$D$248,E275&gt;$D$249),"Rev. Total. abona.",IF(D275="",IF(E275="","",E275/(0.92*1000)),IF(OR($D$241="SAN CRISTOBAL",$D$241="FLOREANA"),VLOOKUP(D275,'Estratos SCY - FLO'!$A$4:$M$108,IF($D$247="A1",2,IF($D$247="A",5,IF($D$247="B",8,11))))+E275/(0.92*1000),VLOOKUP(D275,'Estratos SCX - ISA'!$A$3:$M$107,IF($D$247="A1",2,IF($D$247="A",5,IF($D$247="B",8,11))))+E275/(0.92*1000))))),IF(OR($D$241="",$D$247=""),"",IF(OR(D275&gt;$D$248,E275&gt;$D$249),"Rev. Total. abona.",IF(D275="",IF(E275="","",E275/(0.92*1000)),IF(OR($D$241="SAN CRISTOBAL",$D$241="FLOREANA"),VLOOKUP(D275,'Estratos SCY - FLO'!$O$4:$S$108,IF($D$247="A1",2,IF($D$247="A",3,IF($D$247="B",4,5))))+E275/(0.92*1000),VLOOKUP(D275,'Estratos SCX - ISA'!$O$4:$S$108,IF($D$247="A1",2,IF($D$247="A",3,IF($D$247="B",4,5))))+E275/(0.92*1000)))))))</f>
        <v/>
      </c>
      <c r="G275" s="59" t="str">
        <f t="shared" si="37"/>
        <v/>
      </c>
      <c r="H275" s="183"/>
      <c r="I275" s="183"/>
      <c r="J275" s="59" t="str">
        <f>IF(OR(H275="",$D$10="",$N$10=""),"",IF($D$10="COBRE",VLOOKUP(CDV_PROY_BT!H275,FDV!$B$16:$E$24,IF(CDV_PROY_BT!$N$10="3F",3,4),FALSE),IF($D$10="ACS",VLOOKUP(CDV_PROY_BT!H275,FDV!$B$10:$E$15,IF(CDV_PROY_BT!$N$10="3F",3,4),FALSE),IF($D$10="5005 (PREENSAMBLADO)",VLOOKUP(CDV_PROY_BT!H275,FDV!$B$4:$E$9,IF(CDV_PROY_BT!$N$10="3F",3,4),FALSE),VLOOKUP(CDV_PROY_BT!H275,FDV!$B$25:$E$30,IF(CDV_PROY_BT!$N$10="3F",3,4),FALSE)))))</f>
        <v/>
      </c>
      <c r="K275" s="63" t="str">
        <f t="shared" si="36"/>
        <v/>
      </c>
      <c r="L275" s="62" t="str">
        <f t="shared" si="38"/>
        <v/>
      </c>
      <c r="M275" s="62" t="str">
        <f t="shared" si="39"/>
        <v/>
      </c>
      <c r="N275" s="155"/>
      <c r="U275" s="138">
        <f t="shared" si="40"/>
        <v>0</v>
      </c>
      <c r="V275" s="138">
        <f t="shared" si="41"/>
        <v>0</v>
      </c>
    </row>
    <row r="276" spans="1:22" ht="15" hidden="1">
      <c r="A276" s="167"/>
      <c r="B276" s="168"/>
      <c r="C276" s="169"/>
      <c r="D276" s="169"/>
      <c r="E276" s="170"/>
      <c r="F276" s="58" t="str">
        <f>IF($N$243="","",IF($N$243="INDUSTRIAL",IF(OR($D$241="",$D$247=""),"",IF(OR(D276&gt;$D$248,E276&gt;$D$249),"Rev. Total. abona.",IF(D276="",IF(E276="","",E276/(0.92*1000)),IF(OR($D$241="SAN CRISTOBAL",$D$241="FLOREANA"),VLOOKUP(D276,'Estratos SCY - FLO'!$A$4:$M$108,IF($D$247="A1",2,IF($D$247="A",5,IF($D$247="B",8,11))))+E276/(0.92*1000),VLOOKUP(D276,'Estratos SCX - ISA'!$A$3:$M$107,IF($D$247="A1",2,IF($D$247="A",5,IF($D$247="B",8,11))))+E276/(0.92*1000))))),IF(OR($D$241="",$D$247=""),"",IF(OR(D276&gt;$D$248,E276&gt;$D$249),"Rev. Total. abona.",IF(D276="",IF(E276="","",E276/(0.92*1000)),IF(OR($D$241="SAN CRISTOBAL",$D$241="FLOREANA"),VLOOKUP(D276,'Estratos SCY - FLO'!$O$4:$S$108,IF($D$247="A1",2,IF($D$247="A",3,IF($D$247="B",4,5))))+E276/(0.92*1000),VLOOKUP(D276,'Estratos SCX - ISA'!$O$4:$S$108,IF($D$247="A1",2,IF($D$247="A",3,IF($D$247="B",4,5))))+E276/(0.92*1000)))))))</f>
        <v/>
      </c>
      <c r="G276" s="59" t="str">
        <f t="shared" si="37"/>
        <v/>
      </c>
      <c r="H276" s="183"/>
      <c r="I276" s="183"/>
      <c r="J276" s="59" t="str">
        <f>IF(OR(H276="",$D$10="",$N$10=""),"",IF($D$10="COBRE",VLOOKUP(CDV_PROY_BT!H276,FDV!$B$16:$E$24,IF(CDV_PROY_BT!$N$10="3F",3,4),FALSE),IF($D$10="ACS",VLOOKUP(CDV_PROY_BT!H276,FDV!$B$10:$E$15,IF(CDV_PROY_BT!$N$10="3F",3,4),FALSE),IF($D$10="5005 (PREENSAMBLADO)",VLOOKUP(CDV_PROY_BT!H276,FDV!$B$4:$E$9,IF(CDV_PROY_BT!$N$10="3F",3,4),FALSE),VLOOKUP(CDV_PROY_BT!H276,FDV!$B$25:$E$30,IF(CDV_PROY_BT!$N$10="3F",3,4),FALSE)))))</f>
        <v/>
      </c>
      <c r="K276" s="63" t="str">
        <f t="shared" si="36"/>
        <v/>
      </c>
      <c r="L276" s="62" t="str">
        <f t="shared" si="38"/>
        <v/>
      </c>
      <c r="M276" s="62" t="str">
        <f t="shared" si="39"/>
        <v/>
      </c>
      <c r="N276" s="155"/>
      <c r="U276" s="138">
        <f t="shared" si="40"/>
        <v>0</v>
      </c>
      <c r="V276" s="138">
        <f t="shared" si="41"/>
        <v>0</v>
      </c>
    </row>
    <row r="277" spans="1:22" ht="15" hidden="1">
      <c r="A277" s="167"/>
      <c r="B277" s="168"/>
      <c r="C277" s="169"/>
      <c r="D277" s="169"/>
      <c r="E277" s="170"/>
      <c r="F277" s="58" t="str">
        <f>IF($N$243="","",IF($N$243="INDUSTRIAL",IF(OR($D$241="",$D$247=""),"",IF(OR(D277&gt;$D$248,E277&gt;$D$249),"Rev. Total. abona.",IF(D277="",IF(E277="","",E277/(0.92*1000)),IF(OR($D$241="SAN CRISTOBAL",$D$241="FLOREANA"),VLOOKUP(D277,'Estratos SCY - FLO'!$A$4:$M$108,IF($D$247="A1",2,IF($D$247="A",5,IF($D$247="B",8,11))))+E277/(0.92*1000),VLOOKUP(D277,'Estratos SCX - ISA'!$A$3:$M$107,IF($D$247="A1",2,IF($D$247="A",5,IF($D$247="B",8,11))))+E277/(0.92*1000))))),IF(OR($D$241="",$D$247=""),"",IF(OR(D277&gt;$D$248,E277&gt;$D$249),"Rev. Total. abona.",IF(D277="",IF(E277="","",E277/(0.92*1000)),IF(OR($D$241="SAN CRISTOBAL",$D$241="FLOREANA"),VLOOKUP(D277,'Estratos SCY - FLO'!$O$4:$S$108,IF($D$247="A1",2,IF($D$247="A",3,IF($D$247="B",4,5))))+E277/(0.92*1000),VLOOKUP(D277,'Estratos SCX - ISA'!$O$4:$S$108,IF($D$247="A1",2,IF($D$247="A",3,IF($D$247="B",4,5))))+E277/(0.92*1000)))))))</f>
        <v/>
      </c>
      <c r="G277" s="59" t="str">
        <f t="shared" si="37"/>
        <v/>
      </c>
      <c r="H277" s="183"/>
      <c r="I277" s="183"/>
      <c r="J277" s="59" t="str">
        <f>IF(OR(H277="",$D$10="",$N$10=""),"",IF($D$10="COBRE",VLOOKUP(CDV_PROY_BT!H277,FDV!$B$16:$E$24,IF(CDV_PROY_BT!$N$10="3F",3,4),FALSE),IF($D$10="ACS",VLOOKUP(CDV_PROY_BT!H277,FDV!$B$10:$E$15,IF(CDV_PROY_BT!$N$10="3F",3,4),FALSE),IF($D$10="5005 (PREENSAMBLADO)",VLOOKUP(CDV_PROY_BT!H277,FDV!$B$4:$E$9,IF(CDV_PROY_BT!$N$10="3F",3,4),FALSE),VLOOKUP(CDV_PROY_BT!H277,FDV!$B$25:$E$30,IF(CDV_PROY_BT!$N$10="3F",3,4),FALSE)))))</f>
        <v/>
      </c>
      <c r="K277" s="63" t="str">
        <f t="shared" si="36"/>
        <v/>
      </c>
      <c r="L277" s="62" t="str">
        <f t="shared" si="38"/>
        <v/>
      </c>
      <c r="M277" s="62" t="str">
        <f t="shared" si="39"/>
        <v/>
      </c>
      <c r="N277" s="155"/>
      <c r="U277" s="138">
        <f t="shared" si="40"/>
        <v>0</v>
      </c>
      <c r="V277" s="138">
        <f t="shared" si="41"/>
        <v>0</v>
      </c>
    </row>
    <row r="278" spans="1:22" ht="15" hidden="1">
      <c r="A278" s="167"/>
      <c r="B278" s="168"/>
      <c r="C278" s="169"/>
      <c r="D278" s="169"/>
      <c r="E278" s="170"/>
      <c r="F278" s="58" t="str">
        <f>IF($N$243="","",IF($N$243="INDUSTRIAL",IF(OR($D$241="",$D$247=""),"",IF(OR(D278&gt;$D$248,E278&gt;$D$249),"Rev. Total. abona.",IF(D278="",IF(E278="","",E278/(0.92*1000)),IF(OR($D$241="SAN CRISTOBAL",$D$241="FLOREANA"),VLOOKUP(D278,'Estratos SCY - FLO'!$A$4:$M$108,IF($D$247="A1",2,IF($D$247="A",5,IF($D$247="B",8,11))))+E278/(0.92*1000),VLOOKUP(D278,'Estratos SCX - ISA'!$A$3:$M$107,IF($D$247="A1",2,IF($D$247="A",5,IF($D$247="B",8,11))))+E278/(0.92*1000))))),IF(OR($D$241="",$D$247=""),"",IF(OR(D278&gt;$D$248,E278&gt;$D$249),"Rev. Total. abona.",IF(D278="",IF(E278="","",E278/(0.92*1000)),IF(OR($D$241="SAN CRISTOBAL",$D$241="FLOREANA"),VLOOKUP(D278,'Estratos SCY - FLO'!$O$4:$S$108,IF($D$247="A1",2,IF($D$247="A",3,IF($D$247="B",4,5))))+E278/(0.92*1000),VLOOKUP(D278,'Estratos SCX - ISA'!$O$4:$S$108,IF($D$247="A1",2,IF($D$247="A",3,IF($D$247="B",4,5))))+E278/(0.92*1000)))))))</f>
        <v/>
      </c>
      <c r="G278" s="59" t="str">
        <f t="shared" si="37"/>
        <v/>
      </c>
      <c r="H278" s="183"/>
      <c r="I278" s="183"/>
      <c r="J278" s="59" t="str">
        <f>IF(OR(H278="",$D$10="",$N$10=""),"",IF($D$10="COBRE",VLOOKUP(CDV_PROY_BT!H278,FDV!$B$16:$E$24,IF(CDV_PROY_BT!$N$10="3F",3,4),FALSE),IF($D$10="ACS",VLOOKUP(CDV_PROY_BT!H278,FDV!$B$10:$E$15,IF(CDV_PROY_BT!$N$10="3F",3,4),FALSE),IF($D$10="5005 (PREENSAMBLADO)",VLOOKUP(CDV_PROY_BT!H278,FDV!$B$4:$E$9,IF(CDV_PROY_BT!$N$10="3F",3,4),FALSE),VLOOKUP(CDV_PROY_BT!H278,FDV!$B$25:$E$30,IF(CDV_PROY_BT!$N$10="3F",3,4),FALSE)))))</f>
        <v/>
      </c>
      <c r="K278" s="63" t="str">
        <f t="shared" si="36"/>
        <v/>
      </c>
      <c r="L278" s="62" t="str">
        <f t="shared" si="38"/>
        <v/>
      </c>
      <c r="M278" s="62" t="str">
        <f t="shared" si="39"/>
        <v/>
      </c>
      <c r="N278" s="155"/>
      <c r="U278" s="138">
        <f t="shared" si="40"/>
        <v>0</v>
      </c>
      <c r="V278" s="138">
        <f t="shared" si="41"/>
        <v>0</v>
      </c>
    </row>
    <row r="279" spans="1:22" ht="15" hidden="1">
      <c r="A279" s="167"/>
      <c r="B279" s="168"/>
      <c r="C279" s="169"/>
      <c r="D279" s="169"/>
      <c r="E279" s="170"/>
      <c r="F279" s="58" t="str">
        <f>IF($N$243="","",IF($N$243="INDUSTRIAL",IF(OR($D$241="",$D$247=""),"",IF(OR(D279&gt;$D$248,E279&gt;$D$249),"Rev. Total. abona.",IF(D279="",IF(E279="","",E279/(0.92*1000)),IF(OR($D$241="SAN CRISTOBAL",$D$241="FLOREANA"),VLOOKUP(D279,'Estratos SCY - FLO'!$A$4:$M$108,IF($D$247="A1",2,IF($D$247="A",5,IF($D$247="B",8,11))))+E279/(0.92*1000),VLOOKUP(D279,'Estratos SCX - ISA'!$A$3:$M$107,IF($D$247="A1",2,IF($D$247="A",5,IF($D$247="B",8,11))))+E279/(0.92*1000))))),IF(OR($D$241="",$D$247=""),"",IF(OR(D279&gt;$D$248,E279&gt;$D$249),"Rev. Total. abona.",IF(D279="",IF(E279="","",E279/(0.92*1000)),IF(OR($D$241="SAN CRISTOBAL",$D$241="FLOREANA"),VLOOKUP(D279,'Estratos SCY - FLO'!$O$4:$S$108,IF($D$247="A1",2,IF($D$247="A",3,IF($D$247="B",4,5))))+E279/(0.92*1000),VLOOKUP(D279,'Estratos SCX - ISA'!$O$4:$S$108,IF($D$247="A1",2,IF($D$247="A",3,IF($D$247="B",4,5))))+E279/(0.92*1000)))))))</f>
        <v/>
      </c>
      <c r="G279" s="59" t="str">
        <f t="shared" si="37"/>
        <v/>
      </c>
      <c r="H279" s="183"/>
      <c r="I279" s="183"/>
      <c r="J279" s="59" t="str">
        <f>IF(OR(H279="",$D$10="",$N$10=""),"",IF($D$10="COBRE",VLOOKUP(CDV_PROY_BT!H279,FDV!$B$16:$E$24,IF(CDV_PROY_BT!$N$10="3F",3,4),FALSE),IF($D$10="ACS",VLOOKUP(CDV_PROY_BT!H279,FDV!$B$10:$E$15,IF(CDV_PROY_BT!$N$10="3F",3,4),FALSE),IF($D$10="5005 (PREENSAMBLADO)",VLOOKUP(CDV_PROY_BT!H279,FDV!$B$4:$E$9,IF(CDV_PROY_BT!$N$10="3F",3,4),FALSE),VLOOKUP(CDV_PROY_BT!H279,FDV!$B$25:$E$30,IF(CDV_PROY_BT!$N$10="3F",3,4),FALSE)))))</f>
        <v/>
      </c>
      <c r="K279" s="63" t="str">
        <f t="shared" si="36"/>
        <v/>
      </c>
      <c r="L279" s="62" t="str">
        <f t="shared" si="38"/>
        <v/>
      </c>
      <c r="M279" s="62" t="str">
        <f t="shared" si="39"/>
        <v/>
      </c>
      <c r="N279" s="155"/>
      <c r="U279" s="138">
        <f t="shared" si="40"/>
        <v>0</v>
      </c>
      <c r="V279" s="138">
        <f t="shared" si="41"/>
        <v>0</v>
      </c>
    </row>
    <row r="280" spans="1:22" ht="15" hidden="1">
      <c r="A280" s="167"/>
      <c r="B280" s="168"/>
      <c r="C280" s="169"/>
      <c r="D280" s="169"/>
      <c r="E280" s="170"/>
      <c r="F280" s="58" t="str">
        <f>IF($N$243="","",IF($N$243="INDUSTRIAL",IF(OR($D$241="",$D$247=""),"",IF(OR(D280&gt;$D$248,E280&gt;$D$249),"Rev. Total. abona.",IF(D280="",IF(E280="","",E280/(0.92*1000)),IF(OR($D$241="SAN CRISTOBAL",$D$241="FLOREANA"),VLOOKUP(D280,'Estratos SCY - FLO'!$A$4:$M$108,IF($D$247="A1",2,IF($D$247="A",5,IF($D$247="B",8,11))))+E280/(0.92*1000),VLOOKUP(D280,'Estratos SCX - ISA'!$A$3:$M$107,IF($D$247="A1",2,IF($D$247="A",5,IF($D$247="B",8,11))))+E280/(0.92*1000))))),IF(OR($D$241="",$D$247=""),"",IF(OR(D280&gt;$D$248,E280&gt;$D$249),"Rev. Total. abona.",IF(D280="",IF(E280="","",E280/(0.92*1000)),IF(OR($D$241="SAN CRISTOBAL",$D$241="FLOREANA"),VLOOKUP(D280,'Estratos SCY - FLO'!$O$4:$S$108,IF($D$247="A1",2,IF($D$247="A",3,IF($D$247="B",4,5))))+E280/(0.92*1000),VLOOKUP(D280,'Estratos SCX - ISA'!$O$4:$S$108,IF($D$247="A1",2,IF($D$247="A",3,IF($D$247="B",4,5))))+E280/(0.92*1000)))))))</f>
        <v/>
      </c>
      <c r="G280" s="59" t="str">
        <f t="shared" si="37"/>
        <v/>
      </c>
      <c r="H280" s="183"/>
      <c r="I280" s="183"/>
      <c r="J280" s="59" t="str">
        <f>IF(OR(H280="",$D$10="",$N$10=""),"",IF($D$10="COBRE",VLOOKUP(CDV_PROY_BT!H280,FDV!$B$16:$E$24,IF(CDV_PROY_BT!$N$10="3F",3,4),FALSE),IF($D$10="ACS",VLOOKUP(CDV_PROY_BT!H280,FDV!$B$10:$E$15,IF(CDV_PROY_BT!$N$10="3F",3,4),FALSE),IF($D$10="5005 (PREENSAMBLADO)",VLOOKUP(CDV_PROY_BT!H280,FDV!$B$4:$E$9,IF(CDV_PROY_BT!$N$10="3F",3,4),FALSE),VLOOKUP(CDV_PROY_BT!H280,FDV!$B$25:$E$30,IF(CDV_PROY_BT!$N$10="3F",3,4),FALSE)))))</f>
        <v/>
      </c>
      <c r="K280" s="63" t="str">
        <f t="shared" si="36"/>
        <v/>
      </c>
      <c r="L280" s="62" t="str">
        <f t="shared" si="38"/>
        <v/>
      </c>
      <c r="M280" s="62" t="str">
        <f t="shared" si="39"/>
        <v/>
      </c>
      <c r="N280" s="155"/>
      <c r="U280" s="138">
        <f t="shared" si="40"/>
        <v>0</v>
      </c>
      <c r="V280" s="138">
        <f t="shared" si="41"/>
        <v>0</v>
      </c>
    </row>
    <row r="281" spans="1:22" ht="15" hidden="1">
      <c r="A281" s="167"/>
      <c r="B281" s="168"/>
      <c r="C281" s="169"/>
      <c r="D281" s="169"/>
      <c r="E281" s="170"/>
      <c r="F281" s="58" t="str">
        <f>IF($N$243="","",IF($N$243="INDUSTRIAL",IF(OR($D$241="",$D$247=""),"",IF(OR(D281&gt;$D$248,E281&gt;$D$249),"Rev. Total. abona.",IF(D281="",IF(E281="","",E281/(0.92*1000)),IF(OR($D$241="SAN CRISTOBAL",$D$241="FLOREANA"),VLOOKUP(D281,'Estratos SCY - FLO'!$A$4:$M$108,IF($D$247="A1",2,IF($D$247="A",5,IF($D$247="B",8,11))))+E281/(0.92*1000),VLOOKUP(D281,'Estratos SCX - ISA'!$A$3:$M$107,IF($D$247="A1",2,IF($D$247="A",5,IF($D$247="B",8,11))))+E281/(0.92*1000))))),IF(OR($D$241="",$D$247=""),"",IF(OR(D281&gt;$D$248,E281&gt;$D$249),"Rev. Total. abona.",IF(D281="",IF(E281="","",E281/(0.92*1000)),IF(OR($D$241="SAN CRISTOBAL",$D$241="FLOREANA"),VLOOKUP(D281,'Estratos SCY - FLO'!$O$4:$S$108,IF($D$247="A1",2,IF($D$247="A",3,IF($D$247="B",4,5))))+E281/(0.92*1000),VLOOKUP(D281,'Estratos SCX - ISA'!$O$4:$S$108,IF($D$247="A1",2,IF($D$247="A",3,IF($D$247="B",4,5))))+E281/(0.92*1000)))))))</f>
        <v/>
      </c>
      <c r="G281" s="59" t="str">
        <f t="shared" si="37"/>
        <v/>
      </c>
      <c r="H281" s="183"/>
      <c r="I281" s="183"/>
      <c r="J281" s="59" t="str">
        <f>IF(OR(H281="",$D$10="",$N$10=""),"",IF($D$10="COBRE",VLOOKUP(CDV_PROY_BT!H281,FDV!$B$16:$E$24,IF(CDV_PROY_BT!$N$10="3F",3,4),FALSE),IF($D$10="ACS",VLOOKUP(CDV_PROY_BT!H281,FDV!$B$10:$E$15,IF(CDV_PROY_BT!$N$10="3F",3,4),FALSE),IF($D$10="5005 (PREENSAMBLADO)",VLOOKUP(CDV_PROY_BT!H281,FDV!$B$4:$E$9,IF(CDV_PROY_BT!$N$10="3F",3,4),FALSE),VLOOKUP(CDV_PROY_BT!H281,FDV!$B$25:$E$30,IF(CDV_PROY_BT!$N$10="3F",3,4),FALSE)))))</f>
        <v/>
      </c>
      <c r="K281" s="63" t="str">
        <f t="shared" si="36"/>
        <v/>
      </c>
      <c r="L281" s="62" t="str">
        <f t="shared" si="38"/>
        <v/>
      </c>
      <c r="M281" s="62" t="str">
        <f t="shared" si="39"/>
        <v/>
      </c>
      <c r="N281" s="155"/>
      <c r="U281" s="138">
        <f t="shared" si="40"/>
        <v>0</v>
      </c>
      <c r="V281" s="138">
        <f t="shared" si="41"/>
        <v>0</v>
      </c>
    </row>
    <row r="282" spans="1:22" ht="15" hidden="1">
      <c r="A282" s="167"/>
      <c r="B282" s="168"/>
      <c r="C282" s="169"/>
      <c r="D282" s="169"/>
      <c r="E282" s="170"/>
      <c r="F282" s="58" t="str">
        <f>IF($N$243="","",IF($N$243="INDUSTRIAL",IF(OR($D$241="",$D$247=""),"",IF(OR(D282&gt;$D$248,E282&gt;$D$249),"Rev. Total. abona.",IF(D282="",IF(E282="","",E282/(0.92*1000)),IF(OR($D$241="SAN CRISTOBAL",$D$241="FLOREANA"),VLOOKUP(D282,'Estratos SCY - FLO'!$A$4:$M$108,IF($D$247="A1",2,IF($D$247="A",5,IF($D$247="B",8,11))))+E282/(0.92*1000),VLOOKUP(D282,'Estratos SCX - ISA'!$A$3:$M$107,IF($D$247="A1",2,IF($D$247="A",5,IF($D$247="B",8,11))))+E282/(0.92*1000))))),IF(OR($D$241="",$D$247=""),"",IF(OR(D282&gt;$D$248,E282&gt;$D$249),"Rev. Total. abona.",IF(D282="",IF(E282="","",E282/(0.92*1000)),IF(OR($D$241="SAN CRISTOBAL",$D$241="FLOREANA"),VLOOKUP(D282,'Estratos SCY - FLO'!$O$4:$S$108,IF($D$247="A1",2,IF($D$247="A",3,IF($D$247="B",4,5))))+E282/(0.92*1000),VLOOKUP(D282,'Estratos SCX - ISA'!$O$4:$S$108,IF($D$247="A1",2,IF($D$247="A",3,IF($D$247="B",4,5))))+E282/(0.92*1000)))))))</f>
        <v/>
      </c>
      <c r="G282" s="59" t="str">
        <f t="shared" si="37"/>
        <v/>
      </c>
      <c r="H282" s="183"/>
      <c r="I282" s="183"/>
      <c r="J282" s="59" t="str">
        <f>IF(OR(H282="",$D$10="",$N$10=""),"",IF($D$10="COBRE",VLOOKUP(CDV_PROY_BT!H282,FDV!$B$16:$E$24,IF(CDV_PROY_BT!$N$10="3F",3,4),FALSE),IF($D$10="ACS",VLOOKUP(CDV_PROY_BT!H282,FDV!$B$10:$E$15,IF(CDV_PROY_BT!$N$10="3F",3,4),FALSE),IF($D$10="5005 (PREENSAMBLADO)",VLOOKUP(CDV_PROY_BT!H282,FDV!$B$4:$E$9,IF(CDV_PROY_BT!$N$10="3F",3,4),FALSE),VLOOKUP(CDV_PROY_BT!H282,FDV!$B$25:$E$30,IF(CDV_PROY_BT!$N$10="3F",3,4),FALSE)))))</f>
        <v/>
      </c>
      <c r="K282" s="63" t="str">
        <f t="shared" si="36"/>
        <v/>
      </c>
      <c r="L282" s="62" t="str">
        <f t="shared" si="38"/>
        <v/>
      </c>
      <c r="M282" s="62" t="str">
        <f t="shared" si="39"/>
        <v/>
      </c>
      <c r="N282" s="155"/>
      <c r="U282" s="138">
        <f t="shared" si="40"/>
        <v>0</v>
      </c>
      <c r="V282" s="138">
        <f t="shared" si="41"/>
        <v>0</v>
      </c>
    </row>
    <row r="283" spans="1:22" ht="15" hidden="1">
      <c r="A283" s="167"/>
      <c r="B283" s="168"/>
      <c r="C283" s="169"/>
      <c r="D283" s="169"/>
      <c r="E283" s="170"/>
      <c r="F283" s="58" t="str">
        <f>IF($N$243="","",IF($N$243="INDUSTRIAL",IF(OR($D$241="",$D$247=""),"",IF(OR(D283&gt;$D$248,E283&gt;$D$249),"Rev. Total. abona.",IF(D283="",IF(E283="","",E283/(0.92*1000)),IF(OR($D$241="SAN CRISTOBAL",$D$241="FLOREANA"),VLOOKUP(D283,'Estratos SCY - FLO'!$A$4:$M$108,IF($D$247="A1",2,IF($D$247="A",5,IF($D$247="B",8,11))))+E283/(0.92*1000),VLOOKUP(D283,'Estratos SCX - ISA'!$A$3:$M$107,IF($D$247="A1",2,IF($D$247="A",5,IF($D$247="B",8,11))))+E283/(0.92*1000))))),IF(OR($D$241="",$D$247=""),"",IF(OR(D283&gt;$D$248,E283&gt;$D$249),"Rev. Total. abona.",IF(D283="",IF(E283="","",E283/(0.92*1000)),IF(OR($D$241="SAN CRISTOBAL",$D$241="FLOREANA"),VLOOKUP(D283,'Estratos SCY - FLO'!$O$4:$S$108,IF($D$247="A1",2,IF($D$247="A",3,IF($D$247="B",4,5))))+E283/(0.92*1000),VLOOKUP(D283,'Estratos SCX - ISA'!$O$4:$S$108,IF($D$247="A1",2,IF($D$247="A",3,IF($D$247="B",4,5))))+E283/(0.92*1000)))))))</f>
        <v/>
      </c>
      <c r="G283" s="59" t="str">
        <f t="shared" si="37"/>
        <v/>
      </c>
      <c r="H283" s="183"/>
      <c r="I283" s="183"/>
      <c r="J283" s="59" t="str">
        <f>IF(OR(H283="",$D$10="",$N$10=""),"",IF($D$10="COBRE",VLOOKUP(CDV_PROY_BT!H283,FDV!$B$16:$E$24,IF(CDV_PROY_BT!$N$10="3F",3,4),FALSE),IF($D$10="ACS",VLOOKUP(CDV_PROY_BT!H283,FDV!$B$10:$E$15,IF(CDV_PROY_BT!$N$10="3F",3,4),FALSE),IF($D$10="5005 (PREENSAMBLADO)",VLOOKUP(CDV_PROY_BT!H283,FDV!$B$4:$E$9,IF(CDV_PROY_BT!$N$10="3F",3,4),FALSE),VLOOKUP(CDV_PROY_BT!H283,FDV!$B$25:$E$30,IF(CDV_PROY_BT!$N$10="3F",3,4),FALSE)))))</f>
        <v/>
      </c>
      <c r="K283" s="63" t="str">
        <f t="shared" si="36"/>
        <v/>
      </c>
      <c r="L283" s="62" t="str">
        <f t="shared" si="38"/>
        <v/>
      </c>
      <c r="M283" s="62" t="str">
        <f t="shared" si="39"/>
        <v/>
      </c>
      <c r="N283" s="156"/>
      <c r="U283" s="138">
        <f t="shared" si="40"/>
        <v>0</v>
      </c>
      <c r="V283" s="138">
        <f t="shared" si="41"/>
        <v>0</v>
      </c>
    </row>
    <row r="284" spans="1:22" ht="15.75" hidden="1" thickBot="1">
      <c r="A284" s="178"/>
      <c r="B284" s="179"/>
      <c r="C284" s="180"/>
      <c r="D284" s="180"/>
      <c r="E284" s="181"/>
      <c r="F284" s="68" t="str">
        <f>IF($N$243="","",IF($N$243="INDUSTRIAL",IF(OR($D$241="",$D$247=""),"",IF(OR(D284&gt;$D$248,E284&gt;$D$249),"Rev. Total. abona.",IF(D284="",IF(E284="","",E284/(0.92*1000)),IF(OR($D$241="SAN CRISTOBAL",$D$241="FLOREANA"),VLOOKUP(D284,'Estratos SCY - FLO'!$A$4:$M$108,IF($D$247="A1",2,IF($D$247="A",5,IF($D$247="B",8,11))))+E284/(0.92*1000),VLOOKUP(D284,'Estratos SCX - ISA'!$A$3:$M$107,IF($D$247="A1",2,IF($D$247="A",5,IF($D$247="B",8,11))))+E284/(0.92*1000))))),IF(OR($D$241="",$D$247=""),"",IF(OR(D284&gt;$D$248,E284&gt;$D$249),"Rev. Total. abona.",IF(D284="",IF(E284="","",E284/(0.92*1000)),IF(OR($D$241="SAN CRISTOBAL",$D$241="FLOREANA"),VLOOKUP(D284,'Estratos SCY - FLO'!$O$4:$S$108,IF($D$247="A1",2,IF($D$247="A",3,IF($D$247="B",4,5))))+E284/(0.92*1000),VLOOKUP(D284,'Estratos SCX - ISA'!$O$4:$S$108,IF($D$247="A1",2,IF($D$247="A",3,IF($D$247="B",4,5))))+E284/(0.92*1000)))))))</f>
        <v/>
      </c>
      <c r="G284" s="69" t="str">
        <f t="shared" si="37"/>
        <v/>
      </c>
      <c r="H284" s="184"/>
      <c r="I284" s="184"/>
      <c r="J284" s="69" t="str">
        <f>IF(OR(H284="",$D$10="",$N$10=""),"",IF($D$10="COBRE",VLOOKUP(CDV_PROY_BT!H284,FDV!$B$16:$E$24,IF(CDV_PROY_BT!$N$10="3F",3,4),FALSE),IF($D$10="ACS",VLOOKUP(CDV_PROY_BT!H284,FDV!$B$10:$E$15,IF(CDV_PROY_BT!$N$10="3F",3,4),FALSE),IF($D$10="5005 (PREENSAMBLADO)",VLOOKUP(CDV_PROY_BT!H284,FDV!$B$4:$E$9,IF(CDV_PROY_BT!$N$10="3F",3,4),FALSE),VLOOKUP(CDV_PROY_BT!H284,FDV!$B$25:$E$30,IF(CDV_PROY_BT!$N$10="3F",3,4),FALSE)))))</f>
        <v/>
      </c>
      <c r="K284" s="65" t="str">
        <f t="shared" si="36"/>
        <v/>
      </c>
      <c r="L284" s="64" t="str">
        <f t="shared" si="38"/>
        <v/>
      </c>
      <c r="M284" s="64" t="str">
        <f t="shared" si="39"/>
        <v/>
      </c>
      <c r="N284" s="157"/>
      <c r="U284" s="138">
        <f t="shared" si="40"/>
        <v>0</v>
      </c>
      <c r="V284" s="138">
        <f t="shared" si="41"/>
        <v>0</v>
      </c>
    </row>
    <row r="285" spans="1:22" ht="15.75" hidden="1" thickBot="1">
      <c r="A285" s="143"/>
      <c r="B285" s="67" t="str">
        <f>IF(N254="","",N254)</f>
        <v>P30</v>
      </c>
      <c r="C285" s="144"/>
      <c r="D285" s="144"/>
      <c r="E285" s="145"/>
      <c r="F285" s="68"/>
      <c r="G285" s="69" t="str">
        <f t="shared" si="37"/>
        <v/>
      </c>
      <c r="H285" s="146" t="e">
        <f>IF(B285="","",IF(B285-A285=1,H284,""))</f>
        <v>#VALUE!</v>
      </c>
      <c r="I285" s="146"/>
      <c r="J285" s="70" t="e">
        <f>IF(OR(H285="",$D$10="",$N$10=""),"",IF($D$10="COBRE",VLOOKUP(CDV_PROY_BT!H285,FDV!$B$16:$E$24,IF(CDV_PROY_BT!$N$10="3F",3,4),FALSE),IF($D$10="ACS",VLOOKUP(CDV_PROY_BT!H285,FDV!$B$10:$E$15,IF(CDV_PROY_BT!$N$10="3F",3,4),FALSE),IF($D$10="5005 (PREENSAMBLADO)",VLOOKUP(CDV_PROY_BT!H285,FDV!$B$4:$E$9,IF(CDV_PROY_BT!$N$10="3F",3,4),FALSE),VLOOKUP(CDV_PROY_BT!H285,FDV!$B$25:$E$30,IF(CDV_PROY_BT!$N$10="3F",3,4),FALSE)))))</f>
        <v>#VALUE!</v>
      </c>
      <c r="K285" s="71" t="str">
        <f t="shared" si="36"/>
        <v/>
      </c>
      <c r="L285" s="68" t="str">
        <f aca="true" t="shared" si="42" ref="L285">IF(C285="","",ROUND(K285/J285,2))</f>
        <v/>
      </c>
      <c r="M285" s="72">
        <v>0</v>
      </c>
      <c r="N285" s="66"/>
      <c r="U285" s="138">
        <f aca="true" t="shared" si="43" ref="U285:U286">+IF(D285&gt;0,C285,0)</f>
        <v>0</v>
      </c>
      <c r="V285" s="138">
        <f aca="true" t="shared" si="44" ref="V285:V286">IF(C285="",0,C285*G285)</f>
        <v>0</v>
      </c>
    </row>
    <row r="286" spans="1:22" ht="15.75" hidden="1" thickBot="1">
      <c r="A286" s="73" t="s">
        <v>113</v>
      </c>
      <c r="B286" s="74"/>
      <c r="C286" s="75"/>
      <c r="D286" s="75"/>
      <c r="E286" s="76"/>
      <c r="F286" s="77"/>
      <c r="G286" s="78"/>
      <c r="H286" s="79"/>
      <c r="I286" s="79"/>
      <c r="J286" s="78"/>
      <c r="K286" s="121"/>
      <c r="L286" s="121"/>
      <c r="M286" s="128"/>
      <c r="N286" s="240"/>
      <c r="U286" s="138">
        <f t="shared" si="43"/>
        <v>0</v>
      </c>
      <c r="V286" s="138">
        <f t="shared" si="44"/>
        <v>0</v>
      </c>
    </row>
    <row r="287" spans="1:14" ht="15.75" hidden="1" thickBot="1">
      <c r="A287" s="93" t="s">
        <v>96</v>
      </c>
      <c r="B287" s="94">
        <f>+ROUND(SUMIF(H258:H284,"4/0",V258:V286)*1.015,0)</f>
        <v>0</v>
      </c>
      <c r="C287" s="93" t="s">
        <v>97</v>
      </c>
      <c r="D287" s="94">
        <f>ROUND((SUMIF(H258:H284,"3/0",V258:V286))*1.015,0)</f>
        <v>0</v>
      </c>
      <c r="E287" s="82" t="s">
        <v>95</v>
      </c>
      <c r="F287" s="81">
        <f>ROUND((SUMIF(H258:H284,"2/0",V258:V286))*1.015,0)</f>
        <v>0</v>
      </c>
      <c r="G287" s="80" t="s">
        <v>57</v>
      </c>
      <c r="H287" s="81">
        <f>ROUND((SUMIF(H258:H284,"1/0",V258:V286))*1.015,0)</f>
        <v>131</v>
      </c>
      <c r="I287" s="93" t="s">
        <v>58</v>
      </c>
      <c r="J287" s="94">
        <f>ROUND((SUMIF(H258:H284,"2",V258:V286))*1.015,0)</f>
        <v>0</v>
      </c>
      <c r="K287" s="147"/>
      <c r="L287" s="91"/>
      <c r="M287" s="92"/>
      <c r="N287" s="241"/>
    </row>
    <row r="288" spans="1:14" ht="15.75" hidden="1" thickBot="1">
      <c r="A288" s="119" t="s">
        <v>107</v>
      </c>
      <c r="B288" s="92"/>
      <c r="C288" s="91"/>
      <c r="D288" s="92"/>
      <c r="E288" s="91"/>
      <c r="F288" s="92"/>
      <c r="G288" s="91"/>
      <c r="H288" s="92"/>
      <c r="I288" s="92"/>
      <c r="J288" s="91"/>
      <c r="K288" s="92"/>
      <c r="L288" s="91"/>
      <c r="M288" s="92"/>
      <c r="N288" s="241"/>
    </row>
    <row r="289" spans="1:14" ht="15.75" hidden="1" thickBot="1">
      <c r="A289" s="93" t="s">
        <v>96</v>
      </c>
      <c r="B289" s="94">
        <f>+ROUND(SUMIF(I258:I284,"4/0",U258:U286)*1.015,0)</f>
        <v>0</v>
      </c>
      <c r="C289" s="93" t="s">
        <v>97</v>
      </c>
      <c r="D289" s="94">
        <f>ROUND((SUMIF(I258:I284,"3/0",U258:U286))*1.015,0)</f>
        <v>0</v>
      </c>
      <c r="E289" s="93" t="s">
        <v>95</v>
      </c>
      <c r="F289" s="94">
        <f>ROUND((SUMIF(I258:I284,"2/0",U258:U286))*1.015,0)</f>
        <v>0</v>
      </c>
      <c r="G289" s="93" t="s">
        <v>57</v>
      </c>
      <c r="H289" s="94">
        <f>ROUND((SUMIF(I258:I284,"1/0",U258:U286))*1.015,0)</f>
        <v>131</v>
      </c>
      <c r="I289" s="93" t="s">
        <v>58</v>
      </c>
      <c r="J289" s="94">
        <f>ROUND((SUMIF(I258:I284,"2",U258:U286))*1.015,0)</f>
        <v>0</v>
      </c>
      <c r="L289" s="91"/>
      <c r="M289" s="92"/>
      <c r="N289" s="241"/>
    </row>
    <row r="290" spans="1:14" ht="15.75" hidden="1" thickBot="1">
      <c r="A290" s="244" t="s">
        <v>123</v>
      </c>
      <c r="B290" s="244"/>
      <c r="C290" s="244"/>
      <c r="D290" s="21">
        <f>IF(N245="","",SUM(C258:C284))</f>
        <v>129</v>
      </c>
      <c r="E290" s="28" t="s">
        <v>59</v>
      </c>
      <c r="G290" s="21"/>
      <c r="H290" s="21"/>
      <c r="I290" s="21"/>
      <c r="J290" s="21"/>
      <c r="K290" s="21"/>
      <c r="L290" s="21"/>
      <c r="M290" s="23"/>
      <c r="N290" s="83" t="s">
        <v>80</v>
      </c>
    </row>
    <row r="291" spans="1:14" ht="15" hidden="1">
      <c r="A291" s="36" t="s">
        <v>60</v>
      </c>
      <c r="B291" s="238"/>
      <c r="C291" s="238"/>
      <c r="D291" s="238"/>
      <c r="E291" s="238"/>
      <c r="F291" s="238"/>
      <c r="G291" s="238"/>
      <c r="H291" s="238"/>
      <c r="I291" s="238"/>
      <c r="J291" s="238"/>
      <c r="K291" s="238"/>
      <c r="L291" s="238"/>
      <c r="M291" s="239"/>
      <c r="N291" s="84" t="s">
        <v>61</v>
      </c>
    </row>
    <row r="292" spans="1:14" ht="15.75" hidden="1" thickBot="1">
      <c r="A292" s="148"/>
      <c r="B292" s="242"/>
      <c r="C292" s="242"/>
      <c r="D292" s="242"/>
      <c r="E292" s="242"/>
      <c r="F292" s="242"/>
      <c r="G292" s="242"/>
      <c r="H292" s="242"/>
      <c r="I292" s="242"/>
      <c r="J292" s="242"/>
      <c r="K292" s="242"/>
      <c r="L292" s="242"/>
      <c r="M292" s="243"/>
      <c r="N292" s="85">
        <f>MAX(N258:N284)</f>
        <v>2.4299999999999997</v>
      </c>
    </row>
    <row r="293" ht="15.75" hidden="1" thickBot="1"/>
    <row r="294" spans="1:14" ht="15.75" hidden="1" thickBot="1">
      <c r="A294" s="18"/>
      <c r="B294" s="18"/>
      <c r="C294" s="19"/>
      <c r="D294" s="19"/>
      <c r="E294" s="19"/>
      <c r="F294" s="20"/>
      <c r="G294" s="18"/>
      <c r="H294" s="18"/>
      <c r="I294" s="18"/>
      <c r="J294" s="19"/>
      <c r="K294" s="18"/>
      <c r="L294" s="18"/>
      <c r="M294" s="131" t="s">
        <v>122</v>
      </c>
      <c r="N294" s="161" t="s">
        <v>210</v>
      </c>
    </row>
    <row r="295" spans="1:14" ht="18" hidden="1">
      <c r="A295" s="245" t="s">
        <v>62</v>
      </c>
      <c r="B295" s="245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</row>
    <row r="296" spans="1:14" ht="18" hidden="1">
      <c r="A296" s="192"/>
      <c r="B296" s="192"/>
      <c r="C296" s="192"/>
      <c r="D296" s="192"/>
      <c r="E296" s="192"/>
      <c r="F296" s="22" t="s">
        <v>111</v>
      </c>
      <c r="G296" s="192"/>
      <c r="H296" s="192"/>
      <c r="I296" s="192"/>
      <c r="J296" s="192"/>
      <c r="K296" s="192"/>
      <c r="L296" s="192"/>
      <c r="M296" s="192"/>
      <c r="N296" s="87"/>
    </row>
    <row r="297" spans="1:31" ht="15.75" hidden="1">
      <c r="A297" s="246" t="s">
        <v>112</v>
      </c>
      <c r="B297" s="246"/>
      <c r="C297" s="246"/>
      <c r="D297" s="246"/>
      <c r="E297" s="246"/>
      <c r="F297" s="246"/>
      <c r="G297" s="246"/>
      <c r="H297" s="246"/>
      <c r="I297" s="246"/>
      <c r="J297" s="246"/>
      <c r="K297" s="246"/>
      <c r="L297" s="246"/>
      <c r="M297" s="246"/>
      <c r="N297" s="246"/>
      <c r="U297" s="138" t="s">
        <v>63</v>
      </c>
      <c r="W297" s="138" t="s">
        <v>24</v>
      </c>
      <c r="Y297" s="138" t="s">
        <v>69</v>
      </c>
      <c r="AA297" s="138" t="s">
        <v>72</v>
      </c>
      <c r="AB297" s="138" t="s">
        <v>77</v>
      </c>
      <c r="AC297" s="138" t="s">
        <v>79</v>
      </c>
      <c r="AD297" s="138" t="s">
        <v>170</v>
      </c>
      <c r="AE297" s="138" t="s">
        <v>176</v>
      </c>
    </row>
    <row r="298" spans="1:31" ht="16.5" hidden="1" thickBot="1">
      <c r="A298" s="24"/>
      <c r="B298" s="18"/>
      <c r="C298" s="19"/>
      <c r="D298" s="19"/>
      <c r="E298" s="19"/>
      <c r="F298" s="20"/>
      <c r="G298" s="20"/>
      <c r="H298" s="18"/>
      <c r="I298" s="18"/>
      <c r="J298" s="18"/>
      <c r="K298" s="19"/>
      <c r="L298" s="18"/>
      <c r="M298" s="18"/>
      <c r="N298" s="23"/>
      <c r="U298" s="138" t="s">
        <v>64</v>
      </c>
      <c r="W298" s="138" t="s">
        <v>82</v>
      </c>
      <c r="Y298" s="138" t="s">
        <v>70</v>
      </c>
      <c r="AA298" s="138" t="s">
        <v>73</v>
      </c>
      <c r="AB298" s="138" t="s">
        <v>29</v>
      </c>
      <c r="AC298" s="139">
        <v>2</v>
      </c>
      <c r="AD298" s="138" t="s">
        <v>171</v>
      </c>
      <c r="AE298" s="138">
        <v>0.65</v>
      </c>
    </row>
    <row r="299" spans="1:31" ht="15.75" hidden="1" thickBot="1">
      <c r="A299" s="25" t="s">
        <v>23</v>
      </c>
      <c r="B299" s="26"/>
      <c r="C299" s="88"/>
      <c r="D299" s="258" t="s">
        <v>64</v>
      </c>
      <c r="E299" s="258"/>
      <c r="F299" s="266" t="s">
        <v>92</v>
      </c>
      <c r="G299" s="267"/>
      <c r="H299" s="263" t="str">
        <f>+H241</f>
        <v>Puerto Villamil</v>
      </c>
      <c r="I299" s="264"/>
      <c r="J299" s="265"/>
      <c r="K299" s="268" t="s">
        <v>81</v>
      </c>
      <c r="L299" s="269"/>
      <c r="M299" s="261" t="str">
        <f>+M241</f>
        <v>Pedregal V</v>
      </c>
      <c r="N299" s="262"/>
      <c r="U299" s="138" t="s">
        <v>65</v>
      </c>
      <c r="W299" s="138" t="s">
        <v>83</v>
      </c>
      <c r="Y299" s="138" t="s">
        <v>7</v>
      </c>
      <c r="AA299" s="138" t="s">
        <v>76</v>
      </c>
      <c r="AB299" s="138" t="s">
        <v>78</v>
      </c>
      <c r="AC299" s="139" t="s">
        <v>0</v>
      </c>
      <c r="AD299" s="138" t="s">
        <v>172</v>
      </c>
      <c r="AE299" s="138">
        <v>0.7</v>
      </c>
    </row>
    <row r="300" spans="1:31" ht="15.75" hidden="1" thickBot="1">
      <c r="A300" s="21"/>
      <c r="B300" s="21"/>
      <c r="C300" s="21"/>
      <c r="D300" s="21"/>
      <c r="E300" s="21"/>
      <c r="F300" s="28"/>
      <c r="G300" s="28"/>
      <c r="H300" s="21"/>
      <c r="I300" s="21"/>
      <c r="J300" s="21"/>
      <c r="K300" s="21"/>
      <c r="L300" s="21"/>
      <c r="M300" s="21"/>
      <c r="N300" s="23"/>
      <c r="U300" s="138" t="s">
        <v>66</v>
      </c>
      <c r="W300" s="138" t="s">
        <v>68</v>
      </c>
      <c r="Y300" s="138" t="s">
        <v>27</v>
      </c>
      <c r="AA300" s="138" t="s">
        <v>74</v>
      </c>
      <c r="AC300" s="139" t="s">
        <v>1</v>
      </c>
      <c r="AD300" s="138" t="s">
        <v>173</v>
      </c>
      <c r="AE300" s="138">
        <v>0.8</v>
      </c>
    </row>
    <row r="301" spans="1:31" ht="15.75" hidden="1" thickBot="1">
      <c r="A301" s="25" t="s">
        <v>24</v>
      </c>
      <c r="B301" s="26"/>
      <c r="C301" s="26"/>
      <c r="D301" s="259" t="s">
        <v>68</v>
      </c>
      <c r="E301" s="258"/>
      <c r="F301" s="260"/>
      <c r="G301" s="26"/>
      <c r="H301" s="29"/>
      <c r="I301" s="29"/>
      <c r="J301" s="26"/>
      <c r="K301" s="26"/>
      <c r="L301" s="26" t="s">
        <v>174</v>
      </c>
      <c r="M301" s="26"/>
      <c r="N301" s="211" t="s">
        <v>173</v>
      </c>
      <c r="U301" s="138" t="s">
        <v>67</v>
      </c>
      <c r="Y301" s="138" t="s">
        <v>9</v>
      </c>
      <c r="AA301" s="138" t="s">
        <v>75</v>
      </c>
      <c r="AC301" s="139" t="s">
        <v>2</v>
      </c>
      <c r="AE301" s="138">
        <v>0.9</v>
      </c>
    </row>
    <row r="302" spans="1:31" ht="15.75" hidden="1" thickBot="1">
      <c r="A302" s="23" t="s">
        <v>25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 t="s">
        <v>178</v>
      </c>
      <c r="L302" s="208"/>
      <c r="M302" s="23"/>
      <c r="N302" s="43" t="str">
        <f>IF(N303="","",IF(N303="3F","220 / 127 V","240 / 120 V"))</f>
        <v>220 / 127 V</v>
      </c>
      <c r="AC302" s="141" t="s">
        <v>3</v>
      </c>
      <c r="AE302" s="138">
        <v>1</v>
      </c>
    </row>
    <row r="303" spans="1:24" ht="15.75" hidden="1" thickBot="1">
      <c r="A303" s="30" t="s">
        <v>26</v>
      </c>
      <c r="B303" s="18"/>
      <c r="C303" s="23"/>
      <c r="D303" s="253" t="s">
        <v>70</v>
      </c>
      <c r="E303" s="254"/>
      <c r="F303" s="18"/>
      <c r="G303" s="18"/>
      <c r="H303" s="18"/>
      <c r="I303" s="18"/>
      <c r="J303" s="18"/>
      <c r="K303" s="23"/>
      <c r="L303" s="18" t="s">
        <v>179</v>
      </c>
      <c r="M303" s="18"/>
      <c r="N303" s="151" t="s">
        <v>78</v>
      </c>
      <c r="U303" s="138" t="s">
        <v>64</v>
      </c>
      <c r="W303" s="138" t="s">
        <v>29</v>
      </c>
      <c r="X303" s="138" t="s">
        <v>78</v>
      </c>
    </row>
    <row r="304" spans="1:24" ht="15.75" hidden="1" thickBot="1">
      <c r="A304" s="23"/>
      <c r="B304" s="31"/>
      <c r="C304" s="23"/>
      <c r="D304" s="19"/>
      <c r="E304" s="32"/>
      <c r="F304" s="32"/>
      <c r="G304" s="20"/>
      <c r="H304" s="20"/>
      <c r="I304" s="20"/>
      <c r="J304" s="33"/>
      <c r="K304" s="21" t="s">
        <v>175</v>
      </c>
      <c r="L304" s="35"/>
      <c r="M304" s="18"/>
      <c r="N304" s="209">
        <v>0.8</v>
      </c>
      <c r="U304" s="138" t="s">
        <v>84</v>
      </c>
      <c r="W304" s="138">
        <v>10</v>
      </c>
      <c r="X304" s="138">
        <v>30</v>
      </c>
    </row>
    <row r="305" spans="1:24" ht="15.75" hidden="1" thickBot="1">
      <c r="A305" s="36" t="s">
        <v>71</v>
      </c>
      <c r="B305" s="37"/>
      <c r="C305" s="37"/>
      <c r="D305" s="150" t="s">
        <v>74</v>
      </c>
      <c r="E305" s="38"/>
      <c r="F305" s="39"/>
      <c r="G305" s="39"/>
      <c r="H305" s="39"/>
      <c r="I305" s="39"/>
      <c r="J305" s="37"/>
      <c r="K305" s="36"/>
      <c r="L305" s="37"/>
      <c r="M305" s="89" t="s">
        <v>30</v>
      </c>
      <c r="N305" s="190" t="s">
        <v>148</v>
      </c>
      <c r="U305" s="138" t="s">
        <v>85</v>
      </c>
      <c r="W305" s="138">
        <v>15</v>
      </c>
      <c r="X305" s="138">
        <v>50</v>
      </c>
    </row>
    <row r="306" spans="1:24" ht="15.75" hidden="1" thickBot="1">
      <c r="A306" s="41" t="s">
        <v>31</v>
      </c>
      <c r="B306" s="21"/>
      <c r="C306" s="21"/>
      <c r="D306" s="150">
        <v>12</v>
      </c>
      <c r="E306" s="21"/>
      <c r="F306" s="28"/>
      <c r="G306" s="42" t="s">
        <v>32</v>
      </c>
      <c r="H306" s="274" t="str">
        <f>+H248</f>
        <v>J.P</v>
      </c>
      <c r="I306" s="275"/>
      <c r="J306" s="275"/>
      <c r="K306" s="41"/>
      <c r="L306" s="21"/>
      <c r="M306" s="115" t="s">
        <v>93</v>
      </c>
      <c r="N306" s="210">
        <f>+N307/N304</f>
        <v>52.580305130986495</v>
      </c>
      <c r="U306" s="138" t="s">
        <v>86</v>
      </c>
      <c r="W306" s="138">
        <v>25</v>
      </c>
      <c r="X306" s="138">
        <v>75</v>
      </c>
    </row>
    <row r="307" spans="1:24" ht="15.75" hidden="1" thickBot="1">
      <c r="A307" s="41" t="s">
        <v>34</v>
      </c>
      <c r="B307" s="21"/>
      <c r="C307" s="21"/>
      <c r="D307" s="162">
        <v>440</v>
      </c>
      <c r="E307" s="41"/>
      <c r="F307" s="28"/>
      <c r="G307" s="42" t="s">
        <v>35</v>
      </c>
      <c r="H307" s="249">
        <f>+H249</f>
        <v>43511</v>
      </c>
      <c r="I307" s="250"/>
      <c r="J307" s="250"/>
      <c r="K307" s="41"/>
      <c r="L307" s="21"/>
      <c r="M307" s="115" t="s">
        <v>177</v>
      </c>
      <c r="N307" s="116">
        <f>IF($N$301="","",IF($N$301="INDUSTRIAL",IF(OR(D299="",D305="",D306=""),"",(IF(OR(D299="SAN CRISTOBAL",D299="FLOREANA"),VLOOKUP(D306,'Estratos SCY - FLO'!$A$4:$M$108,IF(D305="A1",2,IF(D305="A",5,IF(D305="B",8,11))),0),VLOOKUP(D306,'Estratos SCX - ISA'!$A$4:$M$108,IF(D305="A1",2,IF(D305="A",5,IF(D305="B",8,11))),0))+D307/920)*N304),IF(OR(D299="",D305="",D306=""),"",(IF(OR(D299="SAN CRISTOBAL",D299="FLOREANA"),VLOOKUP(D306,'Estratos SCY - FLO'!$O$4:$S$108,IF(D305="A1",2,IF(D305="A",3,IF(D305="B",4,5))),0),VLOOKUP(D306,'Estratos SCX - ISA'!$O$4:$S$108,IF(D305="A1",2,IF(D305="A",3,IF(D305="B",4,5))),0))+D307/920)*N304)))</f>
        <v>42.064244104789196</v>
      </c>
      <c r="U307" s="138" t="s">
        <v>87</v>
      </c>
      <c r="W307" s="138">
        <v>37.5</v>
      </c>
      <c r="X307" s="138">
        <v>100</v>
      </c>
    </row>
    <row r="308" spans="1:24" ht="42" customHeight="1" hidden="1" thickBot="1">
      <c r="A308" s="270" t="str">
        <f>+IF(OR(N301="INDUSTRIAL"),"NOTA: Estratos:  A1 (Consumo-Alto); A (Consumo-Medio); B(Consumo-Bajo); C(Consumo-Mínimo)",IF(N301="","","NOTA: Estratos:  A1 (Casco Urbano-Sector hotelero);A (Barrios Centricos); B(Zona Periferica); C(Zona Rural)"))</f>
        <v>NOTA: Estratos:  A1 (Consumo-Alto); A (Consumo-Medio); B(Consumo-Bajo); C(Consumo-Mínimo)</v>
      </c>
      <c r="B308" s="271"/>
      <c r="C308" s="271"/>
      <c r="D308" s="271"/>
      <c r="E308" s="271"/>
      <c r="F308" s="271"/>
      <c r="G308" s="271"/>
      <c r="H308" s="271"/>
      <c r="I308" s="271"/>
      <c r="J308" s="271"/>
      <c r="K308" s="44"/>
      <c r="L308" s="34"/>
      <c r="M308" s="130" t="str">
        <f>+IF(OR(N303="",D305="",D306=""),"","POT. NOMINAL TRAFO. (KVA):")</f>
        <v>POT. NOMINAL TRAFO. (KVA):</v>
      </c>
      <c r="N308" s="117">
        <f>IF(OR(N303="",N304="",N304=0),"",IF(N303="1F",IF(N307&lt;$W$11,$W$11,IF(AND(N307&gt;$W$11,N307&lt;$W$12),$W$12,IF(AND(N307&gt;$W$12,N307&lt;$W$13),$W$13,IF(AND(N307&gt;$W$13,N307&lt;$W$14),$W$14,IF(AND(N307&gt;$W$14,N307&lt;$W$15),$W$15,IF(AND(N307&gt;$W$15,N307&lt;$W$16),$W$16,IF(AND(N307&gt;$W$16,N307&lt;$W$17),$W$17,IF(AND(N307&gt;$W$17,N307&lt;$W$18),$W$18,IF(AND(N307&gt;$W$18,N307&lt;$W$19),$W$19,""))))))))),IF($N$307&lt;$X$11,$X$11,IF(AND(N307&gt;$X$11,N307&lt;$X$12),$X$12,IF(AND(N307&gt;$X$12,N307&lt;$X$13),$X$13,IF(AND(N307&gt;$X$13,N307&lt;$X$14),$X$14,IF(AND(N307&gt;$X$14,N307&lt;$X$15),$X$15,IF(AND(N307&gt;$X$15,N307&lt;$X$16),$X$16,IF(AND(N307&gt;$X$16,N307&lt;$X$17),$X$17,"")))))))))</f>
        <v>50</v>
      </c>
      <c r="U308" s="138" t="s">
        <v>88</v>
      </c>
      <c r="W308" s="138">
        <v>50</v>
      </c>
      <c r="X308" s="138">
        <v>125</v>
      </c>
    </row>
    <row r="309" spans="1:24" ht="15.75" hidden="1" thickBot="1">
      <c r="A309" s="21"/>
      <c r="B309" s="21"/>
      <c r="C309" s="21"/>
      <c r="D309" s="21"/>
      <c r="E309" s="21"/>
      <c r="F309" s="28"/>
      <c r="G309" s="28"/>
      <c r="H309" s="21"/>
      <c r="I309" s="21"/>
      <c r="J309" s="21"/>
      <c r="K309" s="21"/>
      <c r="L309" s="21"/>
      <c r="M309" s="21"/>
      <c r="N309" s="23"/>
      <c r="U309" s="138" t="s">
        <v>89</v>
      </c>
      <c r="W309" s="138">
        <v>75</v>
      </c>
      <c r="X309" s="138">
        <v>150</v>
      </c>
    </row>
    <row r="310" spans="1:24" ht="19.5" hidden="1" thickBot="1">
      <c r="A310" s="46" t="s">
        <v>36</v>
      </c>
      <c r="B310" s="47"/>
      <c r="C310" s="47"/>
      <c r="D310" s="48" t="s">
        <v>37</v>
      </c>
      <c r="E310" s="49"/>
      <c r="F310" s="50"/>
      <c r="G310" s="50"/>
      <c r="H310" s="37"/>
      <c r="I310" s="37"/>
      <c r="J310" s="37"/>
      <c r="K310" s="37"/>
      <c r="L310" s="37"/>
      <c r="M310" s="37"/>
      <c r="N310" s="40"/>
      <c r="U310" s="138" t="s">
        <v>90</v>
      </c>
      <c r="W310" s="138">
        <v>100</v>
      </c>
      <c r="X310" s="138">
        <v>200</v>
      </c>
    </row>
    <row r="311" spans="1:23" ht="15.75" hidden="1" thickBot="1">
      <c r="A311" s="41"/>
      <c r="B311" s="21"/>
      <c r="C311" s="21"/>
      <c r="D311" s="21"/>
      <c r="E311" s="21"/>
      <c r="F311" s="28"/>
      <c r="G311" s="28"/>
      <c r="H311" s="21"/>
      <c r="I311" s="21"/>
      <c r="J311" s="21"/>
      <c r="K311" s="21"/>
      <c r="L311" s="21" t="s">
        <v>196</v>
      </c>
      <c r="M311" s="21"/>
      <c r="N311" s="163"/>
      <c r="U311" s="138" t="s">
        <v>91</v>
      </c>
      <c r="W311" s="138">
        <v>112.5</v>
      </c>
    </row>
    <row r="312" spans="1:23" ht="15.75" hidden="1" thickBot="1">
      <c r="A312" s="44"/>
      <c r="B312" s="34"/>
      <c r="C312" s="34"/>
      <c r="D312" s="34"/>
      <c r="E312" s="34"/>
      <c r="F312" s="45"/>
      <c r="G312" s="45"/>
      <c r="H312" s="34"/>
      <c r="I312" s="34"/>
      <c r="J312" s="34"/>
      <c r="K312" s="34"/>
      <c r="L312" s="113" t="s">
        <v>102</v>
      </c>
      <c r="M312" s="142"/>
      <c r="N312" s="163" t="s">
        <v>151</v>
      </c>
      <c r="W312" s="138">
        <v>125</v>
      </c>
    </row>
    <row r="313" spans="1:14" ht="15.75" hidden="1" thickBot="1">
      <c r="A313" s="21"/>
      <c r="B313" s="21"/>
      <c r="C313" s="21"/>
      <c r="D313" s="21"/>
      <c r="E313" s="21"/>
      <c r="F313" s="28"/>
      <c r="G313" s="28"/>
      <c r="H313" s="21"/>
      <c r="I313" s="21"/>
      <c r="J313" s="21"/>
      <c r="K313" s="21"/>
      <c r="L313" s="21"/>
      <c r="M313" s="21"/>
      <c r="N313" s="23"/>
    </row>
    <row r="314" spans="1:22" ht="15.75" customHeight="1" hidden="1" thickBot="1">
      <c r="A314" s="257" t="s">
        <v>38</v>
      </c>
      <c r="B314" s="252"/>
      <c r="C314" s="52" t="s">
        <v>39</v>
      </c>
      <c r="D314" s="52" t="s">
        <v>40</v>
      </c>
      <c r="E314" s="53" t="s">
        <v>41</v>
      </c>
      <c r="F314" s="53" t="s">
        <v>42</v>
      </c>
      <c r="G314" s="257" t="s">
        <v>43</v>
      </c>
      <c r="H314" s="251"/>
      <c r="I314" s="251"/>
      <c r="J314" s="252"/>
      <c r="K314" s="255" t="s">
        <v>44</v>
      </c>
      <c r="L314" s="251" t="s">
        <v>45</v>
      </c>
      <c r="M314" s="251"/>
      <c r="N314" s="252"/>
      <c r="U314" s="237" t="s">
        <v>98</v>
      </c>
      <c r="V314" s="237" t="s">
        <v>99</v>
      </c>
    </row>
    <row r="315" spans="1:22" ht="15.75" hidden="1" thickBot="1">
      <c r="A315" s="52" t="s">
        <v>46</v>
      </c>
      <c r="B315" s="52" t="s">
        <v>47</v>
      </c>
      <c r="C315" s="54" t="s">
        <v>48</v>
      </c>
      <c r="D315" s="54" t="s">
        <v>49</v>
      </c>
      <c r="E315" s="55" t="s">
        <v>50</v>
      </c>
      <c r="F315" s="55" t="s">
        <v>51</v>
      </c>
      <c r="G315" s="56" t="s">
        <v>52</v>
      </c>
      <c r="H315" s="43" t="s">
        <v>105</v>
      </c>
      <c r="I315" s="124" t="s">
        <v>106</v>
      </c>
      <c r="J315" s="43" t="s">
        <v>53</v>
      </c>
      <c r="K315" s="256"/>
      <c r="L315" s="53" t="s">
        <v>54</v>
      </c>
      <c r="M315" s="43" t="s">
        <v>55</v>
      </c>
      <c r="N315" s="57" t="s">
        <v>56</v>
      </c>
      <c r="U315" s="237"/>
      <c r="V315" s="237"/>
    </row>
    <row r="316" spans="1:22" ht="15" hidden="1">
      <c r="A316" s="191" t="str">
        <f>IF(N312="","",N312)</f>
        <v>P32</v>
      </c>
      <c r="B316" s="164" t="s">
        <v>149</v>
      </c>
      <c r="C316" s="165">
        <v>30</v>
      </c>
      <c r="D316" s="165">
        <v>6</v>
      </c>
      <c r="E316" s="166">
        <v>110</v>
      </c>
      <c r="F316" s="193">
        <f>IF($N$301="","",IF($N$301="INDUSTRIAL",IF(OR($D$299="",$D$305=""),"",IF(OR(D316&gt;$D$306,E316&gt;$D$307),"Rev. Total. abona.",IF(D316="",IF(E316="","",E316/(0.92*1000)),IF(OR($D$299="SAN CRISTOBAL",$D$299="FLOREANA"),VLOOKUP(D316,'Estratos SCY - FLO'!$A$4:$M$108,IF($D$305="A1",2,IF($D$305="A",5,IF($D$305="B",8,11))))+E316/(0.92*1000),VLOOKUP(D316,'Estratos SCX - ISA'!$A$3:$M$107,IF($D$305="A1",2,IF($D$305="A",5,IF($D$305="B",8,11))))+E316/(0.92*1000))))),IF(OR($D$299="",$D$305=""),"",IF(OR(D316&gt;$D$306,E316&gt;$D$307),"Rev. Total. abona.",IF(D316="",IF(E316="","",E316/(0.92*1000)),IF(OR($D$299="SAN CRISTOBAL",$D$299="FLOREANA"),VLOOKUP(D316,'Estratos SCY - FLO'!$O$4:$S$108,IF($D$305="A1",2,IF($D$305="A",3,IF($D$305="B",4,5))))+E316/(0.92*1000),VLOOKUP(D316,'Estratos SCX - ISA'!$O$4:$S$108,IF($D$305="A1",2,IF($D$305="A",3,IF($D$305="B",4,5))))+E316/(0.92*1000)))))))</f>
        <v>27.84749639575231</v>
      </c>
      <c r="G316" s="95">
        <f>IF(OR($N$10="",C316=""),"",IF($N$10="1F",1,3))</f>
        <v>1</v>
      </c>
      <c r="H316" s="182" t="s">
        <v>0</v>
      </c>
      <c r="I316" s="182" t="s">
        <v>0</v>
      </c>
      <c r="J316" s="95">
        <f>IF(OR(H316="",$D$10="",$N$10=""),"",IF($D$10="COBRE",VLOOKUP(CDV_PROY_BT!H316,FDV!$B$16:$E$24,IF(CDV_PROY_BT!$N$10="3F",3,4),FALSE),IF($D$10="ACS",VLOOKUP(CDV_PROY_BT!H316,FDV!$B$10:$E$15,IF(CDV_PROY_BT!$N$10="3F",3,4),FALSE),IF($D$10="5005 (PREENSAMBLADO)",VLOOKUP(CDV_PROY_BT!H316,FDV!$B$4:$E$9,IF(CDV_PROY_BT!$N$10="3F",3,4),FALSE),VLOOKUP(CDV_PROY_BT!H316,FDV!$B$25:$E$30,IF(CDV_PROY_BT!$N$10="3F",3,4),FALSE)))))</f>
        <v>412</v>
      </c>
      <c r="K316" s="60">
        <f aca="true" t="shared" si="45" ref="K316:K343">IF(C316="","",ROUND(F316*C316,0))</f>
        <v>835</v>
      </c>
      <c r="L316" s="61">
        <f>IF($N$19="","",IF(C316="","",ROUND(K316/J316,2)))</f>
        <v>2.03</v>
      </c>
      <c r="M316" s="61">
        <f>IF(C316="","",VLOOKUP(A316,$B$316:$N$343,12,FALSE)+L316+N311)</f>
        <v>2.03</v>
      </c>
      <c r="N316" s="154">
        <f>+M316</f>
        <v>2.03</v>
      </c>
      <c r="U316" s="138">
        <f aca="true" t="shared" si="46" ref="U316:U342">+IF(C316="",0,C316)</f>
        <v>30</v>
      </c>
      <c r="V316" s="138">
        <f aca="true" t="shared" si="47" ref="V316:V342">IF(OR(C316="",G316=""),0,C316*G316)</f>
        <v>30</v>
      </c>
    </row>
    <row r="317" spans="1:22" ht="15" hidden="1">
      <c r="A317" s="167" t="s">
        <v>151</v>
      </c>
      <c r="B317" s="168" t="s">
        <v>152</v>
      </c>
      <c r="C317" s="169">
        <v>30</v>
      </c>
      <c r="D317" s="169">
        <v>3</v>
      </c>
      <c r="E317" s="170">
        <v>220</v>
      </c>
      <c r="F317" s="62">
        <f>IF($N$301="","",IF($N$301="INDUSTRIAL",IF(OR($D$299="",$D$305=""),"",IF(OR(D317&gt;$D$306,E317&gt;$D$307),"Rev. Total. abona.",IF(D317="",IF(E317="","",E317/(0.92*1000)),IF(OR($D$299="SAN CRISTOBAL",$D$299="FLOREANA"),VLOOKUP(D317,'Estratos SCY - FLO'!$A$4:$M$108,IF($D$305="A1",2,IF($D$305="A",5,IF($D$305="B",8,11))))+E317/(0.92*1000),VLOOKUP(D317,'Estratos SCX - ISA'!$A$3:$M$107,IF($D$305="A1",2,IF($D$305="A",5,IF($D$305="B",8,11))))+E317/(0.92*1000))))),IF(OR($D$299="",$D$305=""),"",IF(OR(D317&gt;$D$306,E317&gt;$D$307),"Rev. Total. abona.",IF(D317="",IF(E317="","",E317/(0.92*1000)),IF(OR($D$299="SAN CRISTOBAL",$D$299="FLOREANA"),VLOOKUP(D317,'Estratos SCY - FLO'!$O$4:$S$108,IF($D$305="A1",2,IF($D$305="A",3,IF($D$305="B",4,5))))+E317/(0.92*1000),VLOOKUP(D317,'Estratos SCX - ISA'!$O$4:$S$108,IF($D$305="A1",2,IF($D$305="A",3,IF($D$305="B",4,5))))+E317/(0.92*1000)))))))</f>
        <v>14.995522018465765</v>
      </c>
      <c r="G317" s="59">
        <f aca="true" t="shared" si="48" ref="G317:G343">IF(OR($N$10="",C317=""),"",IF($N$10="1F",1,3))</f>
        <v>1</v>
      </c>
      <c r="H317" s="183" t="s">
        <v>0</v>
      </c>
      <c r="I317" s="183" t="s">
        <v>0</v>
      </c>
      <c r="J317" s="59">
        <f>IF(OR(H317="",$D$10="",$N$10=""),"",IF($D$10="COBRE",VLOOKUP(CDV_PROY_BT!H317,FDV!$B$16:$E$24,IF(CDV_PROY_BT!$N$10="3F",3,4),FALSE),IF($D$10="ACS",VLOOKUP(CDV_PROY_BT!H317,FDV!$B$10:$E$15,IF(CDV_PROY_BT!$N$10="3F",3,4),FALSE),IF($D$10="5005 (PREENSAMBLADO)",VLOOKUP(CDV_PROY_BT!H317,FDV!$B$4:$E$9,IF(CDV_PROY_BT!$N$10="3F",3,4),FALSE),VLOOKUP(CDV_PROY_BT!H317,FDV!$B$25:$E$30,IF(CDV_PROY_BT!$N$10="3F",3,4),FALSE)))))</f>
        <v>412</v>
      </c>
      <c r="K317" s="63">
        <f t="shared" si="45"/>
        <v>450</v>
      </c>
      <c r="L317" s="62">
        <f aca="true" t="shared" si="49" ref="L317:L342">IF($N$19="","",IF(C317="","",ROUND(K317/J317,2)))</f>
        <v>1.09</v>
      </c>
      <c r="M317" s="62">
        <f aca="true" t="shared" si="50" ref="M317:M342">IF(C317="","",VLOOKUP(A317,$B$316:$N$343,12,FALSE)+L317)</f>
        <v>1.09</v>
      </c>
      <c r="N317" s="155"/>
      <c r="U317" s="138">
        <f t="shared" si="46"/>
        <v>30</v>
      </c>
      <c r="V317" s="138">
        <f t="shared" si="47"/>
        <v>30</v>
      </c>
    </row>
    <row r="318" spans="1:22" ht="15" hidden="1">
      <c r="A318" s="167" t="s">
        <v>152</v>
      </c>
      <c r="B318" s="168" t="s">
        <v>163</v>
      </c>
      <c r="C318" s="169">
        <v>32</v>
      </c>
      <c r="D318" s="169"/>
      <c r="E318" s="170">
        <v>110</v>
      </c>
      <c r="F318" s="58">
        <f>IF($N$301="","",IF($N$301="INDUSTRIAL",IF(OR($D$299="",$D$305=""),"",IF(OR(D318&gt;$D$306,E318&gt;$D$307),"Rev. Total. abona.",IF(D318="",IF(E318="","",E318/(0.92*1000)),IF(OR($D$299="SAN CRISTOBAL",$D$299="FLOREANA"),VLOOKUP(D318,'Estratos SCY - FLO'!$A$4:$M$108,IF($D$305="A1",2,IF($D$305="A",5,IF($D$305="B",8,11))))+E318/(0.92*1000),VLOOKUP(D318,'Estratos SCX - ISA'!$A$3:$M$107,IF($D$305="A1",2,IF($D$305="A",5,IF($D$305="B",8,11))))+E318/(0.92*1000))))),IF(OR($D$299="",$D$305=""),"",IF(OR(D318&gt;$D$306,E318&gt;$D$307),"Rev. Total. abona.",IF(D318="",IF(E318="","",E318/(0.92*1000)),IF(OR($D$299="SAN CRISTOBAL",$D$299="FLOREANA"),VLOOKUP(D318,'Estratos SCY - FLO'!$O$4:$S$108,IF($D$305="A1",2,IF($D$305="A",3,IF($D$305="B",4,5))))+E318/(0.92*1000),VLOOKUP(D318,'Estratos SCX - ISA'!$O$4:$S$108,IF($D$305="A1",2,IF($D$305="A",3,IF($D$305="B",4,5))))+E318/(0.92*1000)))))))</f>
        <v>0.11956521739130435</v>
      </c>
      <c r="G318" s="59">
        <f t="shared" si="48"/>
        <v>1</v>
      </c>
      <c r="H318" s="183" t="s">
        <v>0</v>
      </c>
      <c r="I318" s="183" t="s">
        <v>0</v>
      </c>
      <c r="J318" s="59">
        <f>IF(OR(H318="",$D$10="",$N$10=""),"",IF($D$10="COBRE",VLOOKUP(CDV_PROY_BT!H318,FDV!$B$16:$E$24,IF(CDV_PROY_BT!$N$10="3F",3,4),FALSE),IF($D$10="ACS",VLOOKUP(CDV_PROY_BT!H318,FDV!$B$10:$E$15,IF(CDV_PROY_BT!$N$10="3F",3,4),FALSE),IF($D$10="5005 (PREENSAMBLADO)",VLOOKUP(CDV_PROY_BT!H318,FDV!$B$4:$E$9,IF(CDV_PROY_BT!$N$10="3F",3,4),FALSE),VLOOKUP(CDV_PROY_BT!H318,FDV!$B$25:$E$30,IF(CDV_PROY_BT!$N$10="3F",3,4),FALSE)))))</f>
        <v>412</v>
      </c>
      <c r="K318" s="63">
        <f t="shared" si="45"/>
        <v>4</v>
      </c>
      <c r="L318" s="62">
        <f t="shared" si="49"/>
        <v>0.01</v>
      </c>
      <c r="M318" s="62">
        <f t="shared" si="50"/>
        <v>1.1</v>
      </c>
      <c r="N318" s="155">
        <f>+M318</f>
        <v>1.1</v>
      </c>
      <c r="U318" s="138">
        <f t="shared" si="46"/>
        <v>32</v>
      </c>
      <c r="V318" s="138">
        <f t="shared" si="47"/>
        <v>32</v>
      </c>
    </row>
    <row r="319" spans="1:22" ht="15" hidden="1">
      <c r="A319" s="167"/>
      <c r="B319" s="168"/>
      <c r="C319" s="169"/>
      <c r="D319" s="169"/>
      <c r="E319" s="170"/>
      <c r="F319" s="58" t="str">
        <f>IF($N$301="","",IF($N$301="INDUSTRIAL",IF(OR($D$299="",$D$305=""),"",IF(OR(D319&gt;$D$306,E319&gt;$D$307),"Rev. Total. abona.",IF(D319="",IF(E319="","",E319/(0.92*1000)),IF(OR($D$299="SAN CRISTOBAL",$D$299="FLOREANA"),VLOOKUP(D319,'Estratos SCY - FLO'!$A$4:$M$108,IF($D$305="A1",2,IF($D$305="A",5,IF($D$305="B",8,11))))+E319/(0.92*1000),VLOOKUP(D319,'Estratos SCX - ISA'!$A$3:$M$107,IF($D$305="A1",2,IF($D$305="A",5,IF($D$305="B",8,11))))+E319/(0.92*1000))))),IF(OR($D$299="",$D$305=""),"",IF(OR(D319&gt;$D$306,E319&gt;$D$307),"Rev. Total. abona.",IF(D319="",IF(E319="","",E319/(0.92*1000)),IF(OR($D$299="SAN CRISTOBAL",$D$299="FLOREANA"),VLOOKUP(D319,'Estratos SCY - FLO'!$O$4:$S$108,IF($D$305="A1",2,IF($D$305="A",3,IF($D$305="B",4,5))))+E319/(0.92*1000),VLOOKUP(D319,'Estratos SCX - ISA'!$O$4:$S$108,IF($D$305="A1",2,IF($D$305="A",3,IF($D$305="B",4,5))))+E319/(0.92*1000)))))))</f>
        <v/>
      </c>
      <c r="G319" s="59" t="str">
        <f t="shared" si="48"/>
        <v/>
      </c>
      <c r="H319" s="183"/>
      <c r="I319" s="183"/>
      <c r="J319" s="59" t="str">
        <f>IF(OR(H319="",$D$10="",$N$10=""),"",IF($D$10="COBRE",VLOOKUP(CDV_PROY_BT!H319,FDV!$B$16:$E$24,IF(CDV_PROY_BT!$N$10="3F",3,4),FALSE),IF($D$10="ACS",VLOOKUP(CDV_PROY_BT!H319,FDV!$B$10:$E$15,IF(CDV_PROY_BT!$N$10="3F",3,4),FALSE),IF($D$10="5005 (PREENSAMBLADO)",VLOOKUP(CDV_PROY_BT!H319,FDV!$B$4:$E$9,IF(CDV_PROY_BT!$N$10="3F",3,4),FALSE),VLOOKUP(CDV_PROY_BT!H319,FDV!$B$25:$E$30,IF(CDV_PROY_BT!$N$10="3F",3,4),FALSE)))))</f>
        <v/>
      </c>
      <c r="K319" s="63" t="str">
        <f t="shared" si="45"/>
        <v/>
      </c>
      <c r="L319" s="62" t="str">
        <f t="shared" si="49"/>
        <v/>
      </c>
      <c r="M319" s="62" t="str">
        <f t="shared" si="50"/>
        <v/>
      </c>
      <c r="N319" s="155"/>
      <c r="U319" s="138">
        <f t="shared" si="46"/>
        <v>0</v>
      </c>
      <c r="V319" s="138">
        <f t="shared" si="47"/>
        <v>0</v>
      </c>
    </row>
    <row r="320" spans="1:22" ht="15" hidden="1">
      <c r="A320" s="167"/>
      <c r="B320" s="168"/>
      <c r="C320" s="169"/>
      <c r="D320" s="169"/>
      <c r="E320" s="170"/>
      <c r="F320" s="58" t="str">
        <f>IF($N$301="","",IF($N$301="INDUSTRIAL",IF(OR($D$299="",$D$305=""),"",IF(OR(D320&gt;$D$306,E320&gt;$D$307),"Rev. Total. abona.",IF(D320="",IF(E320="","",E320/(0.92*1000)),IF(OR($D$299="SAN CRISTOBAL",$D$299="FLOREANA"),VLOOKUP(D320,'Estratos SCY - FLO'!$A$4:$M$108,IF($D$305="A1",2,IF($D$305="A",5,IF($D$305="B",8,11))))+E320/(0.92*1000),VLOOKUP(D320,'Estratos SCX - ISA'!$A$3:$M$107,IF($D$305="A1",2,IF($D$305="A",5,IF($D$305="B",8,11))))+E320/(0.92*1000))))),IF(OR($D$299="",$D$305=""),"",IF(OR(D320&gt;$D$306,E320&gt;$D$307),"Rev. Total. abona.",IF(D320="",IF(E320="","",E320/(0.92*1000)),IF(OR($D$299="SAN CRISTOBAL",$D$299="FLOREANA"),VLOOKUP(D320,'Estratos SCY - FLO'!$O$4:$S$108,IF($D$305="A1",2,IF($D$305="A",3,IF($D$305="B",4,5))))+E320/(0.92*1000),VLOOKUP(D320,'Estratos SCX - ISA'!$O$4:$S$108,IF($D$305="A1",2,IF($D$305="A",3,IF($D$305="B",4,5))))+E320/(0.92*1000)))))))</f>
        <v/>
      </c>
      <c r="G320" s="59" t="str">
        <f t="shared" si="48"/>
        <v/>
      </c>
      <c r="H320" s="183"/>
      <c r="I320" s="183"/>
      <c r="J320" s="59" t="str">
        <f>IF(OR(H320="",$D$10="",$N$10=""),"",IF($D$10="COBRE",VLOOKUP(CDV_PROY_BT!H320,FDV!$B$16:$E$24,IF(CDV_PROY_BT!$N$10="3F",3,4),FALSE),IF($D$10="ACS",VLOOKUP(CDV_PROY_BT!H320,FDV!$B$10:$E$15,IF(CDV_PROY_BT!$N$10="3F",3,4),FALSE),IF($D$10="5005 (PREENSAMBLADO)",VLOOKUP(CDV_PROY_BT!H320,FDV!$B$4:$E$9,IF(CDV_PROY_BT!$N$10="3F",3,4),FALSE),VLOOKUP(CDV_PROY_BT!H320,FDV!$B$25:$E$30,IF(CDV_PROY_BT!$N$10="3F",3,4),FALSE)))))</f>
        <v/>
      </c>
      <c r="K320" s="63" t="str">
        <f t="shared" si="45"/>
        <v/>
      </c>
      <c r="L320" s="62" t="str">
        <f t="shared" si="49"/>
        <v/>
      </c>
      <c r="M320" s="62" t="str">
        <f t="shared" si="50"/>
        <v/>
      </c>
      <c r="N320" s="155"/>
      <c r="U320" s="138">
        <f t="shared" si="46"/>
        <v>0</v>
      </c>
      <c r="V320" s="138">
        <f t="shared" si="47"/>
        <v>0</v>
      </c>
    </row>
    <row r="321" spans="1:22" ht="15" hidden="1">
      <c r="A321" s="167"/>
      <c r="B321" s="168"/>
      <c r="C321" s="169"/>
      <c r="D321" s="169"/>
      <c r="E321" s="170"/>
      <c r="F321" s="58" t="str">
        <f>IF($N$301="","",IF($N$301="INDUSTRIAL",IF(OR($D$299="",$D$305=""),"",IF(OR(D321&gt;$D$306,E321&gt;$D$307),"Rev. Total. abona.",IF(D321="",IF(E321="","",E321/(0.92*1000)),IF(OR($D$299="SAN CRISTOBAL",$D$299="FLOREANA"),VLOOKUP(D321,'Estratos SCY - FLO'!$A$4:$M$108,IF($D$305="A1",2,IF($D$305="A",5,IF($D$305="B",8,11))))+E321/(0.92*1000),VLOOKUP(D321,'Estratos SCX - ISA'!$A$3:$M$107,IF($D$305="A1",2,IF($D$305="A",5,IF($D$305="B",8,11))))+E321/(0.92*1000))))),IF(OR($D$299="",$D$305=""),"",IF(OR(D321&gt;$D$306,E321&gt;$D$307),"Rev. Total. abona.",IF(D321="",IF(E321="","",E321/(0.92*1000)),IF(OR($D$299="SAN CRISTOBAL",$D$299="FLOREANA"),VLOOKUP(D321,'Estratos SCY - FLO'!$O$4:$S$108,IF($D$305="A1",2,IF($D$305="A",3,IF($D$305="B",4,5))))+E321/(0.92*1000),VLOOKUP(D321,'Estratos SCX - ISA'!$O$4:$S$108,IF($D$305="A1",2,IF($D$305="A",3,IF($D$305="B",4,5))))+E321/(0.92*1000)))))))</f>
        <v/>
      </c>
      <c r="G321" s="59" t="str">
        <f t="shared" si="48"/>
        <v/>
      </c>
      <c r="H321" s="183"/>
      <c r="I321" s="183"/>
      <c r="J321" s="59" t="str">
        <f>IF(OR(H321="",$D$10="",$N$10=""),"",IF($D$10="COBRE",VLOOKUP(CDV_PROY_BT!H321,FDV!$B$16:$E$24,IF(CDV_PROY_BT!$N$10="3F",3,4),FALSE),IF($D$10="ACS",VLOOKUP(CDV_PROY_BT!H321,FDV!$B$10:$E$15,IF(CDV_PROY_BT!$N$10="3F",3,4),FALSE),IF($D$10="5005 (PREENSAMBLADO)",VLOOKUP(CDV_PROY_BT!H321,FDV!$B$4:$E$9,IF(CDV_PROY_BT!$N$10="3F",3,4),FALSE),VLOOKUP(CDV_PROY_BT!H321,FDV!$B$25:$E$30,IF(CDV_PROY_BT!$N$10="3F",3,4),FALSE)))))</f>
        <v/>
      </c>
      <c r="K321" s="63" t="str">
        <f t="shared" si="45"/>
        <v/>
      </c>
      <c r="L321" s="62" t="str">
        <f t="shared" si="49"/>
        <v/>
      </c>
      <c r="M321" s="62" t="str">
        <f t="shared" si="50"/>
        <v/>
      </c>
      <c r="N321" s="155"/>
      <c r="U321" s="138">
        <f t="shared" si="46"/>
        <v>0</v>
      </c>
      <c r="V321" s="138">
        <f t="shared" si="47"/>
        <v>0</v>
      </c>
    </row>
    <row r="322" spans="1:22" ht="15" hidden="1">
      <c r="A322" s="167"/>
      <c r="B322" s="168"/>
      <c r="C322" s="169"/>
      <c r="D322" s="169"/>
      <c r="E322" s="170"/>
      <c r="F322" s="58" t="str">
        <f>IF($N$301="","",IF($N$301="INDUSTRIAL",IF(OR($D$299="",$D$305=""),"",IF(OR(D322&gt;$D$306,E322&gt;$D$307),"Rev. Total. abona.",IF(D322="",IF(E322="","",E322/(0.92*1000)),IF(OR($D$299="SAN CRISTOBAL",$D$299="FLOREANA"),VLOOKUP(D322,'Estratos SCY - FLO'!$A$4:$M$108,IF($D$305="A1",2,IF($D$305="A",5,IF($D$305="B",8,11))))+E322/(0.92*1000),VLOOKUP(D322,'Estratos SCX - ISA'!$A$3:$M$107,IF($D$305="A1",2,IF($D$305="A",5,IF($D$305="B",8,11))))+E322/(0.92*1000))))),IF(OR($D$299="",$D$305=""),"",IF(OR(D322&gt;$D$306,E322&gt;$D$307),"Rev. Total. abona.",IF(D322="",IF(E322="","",E322/(0.92*1000)),IF(OR($D$299="SAN CRISTOBAL",$D$299="FLOREANA"),VLOOKUP(D322,'Estratos SCY - FLO'!$O$4:$S$108,IF($D$305="A1",2,IF($D$305="A",3,IF($D$305="B",4,5))))+E322/(0.92*1000),VLOOKUP(D322,'Estratos SCX - ISA'!$O$4:$S$108,IF($D$305="A1",2,IF($D$305="A",3,IF($D$305="B",4,5))))+E322/(0.92*1000)))))))</f>
        <v/>
      </c>
      <c r="G322" s="59" t="str">
        <f t="shared" si="48"/>
        <v/>
      </c>
      <c r="H322" s="183"/>
      <c r="I322" s="183"/>
      <c r="J322" s="59" t="str">
        <f>IF(OR(H322="",$D$10="",$N$10=""),"",IF($D$10="COBRE",VLOOKUP(CDV_PROY_BT!H322,FDV!$B$16:$E$24,IF(CDV_PROY_BT!$N$10="3F",3,4),FALSE),IF($D$10="ACS",VLOOKUP(CDV_PROY_BT!H322,FDV!$B$10:$E$15,IF(CDV_PROY_BT!$N$10="3F",3,4),FALSE),IF($D$10="5005 (PREENSAMBLADO)",VLOOKUP(CDV_PROY_BT!H322,FDV!$B$4:$E$9,IF(CDV_PROY_BT!$N$10="3F",3,4),FALSE),VLOOKUP(CDV_PROY_BT!H322,FDV!$B$25:$E$30,IF(CDV_PROY_BT!$N$10="3F",3,4),FALSE)))))</f>
        <v/>
      </c>
      <c r="K322" s="63" t="str">
        <f t="shared" si="45"/>
        <v/>
      </c>
      <c r="L322" s="62" t="str">
        <f t="shared" si="49"/>
        <v/>
      </c>
      <c r="M322" s="62" t="str">
        <f t="shared" si="50"/>
        <v/>
      </c>
      <c r="N322" s="155"/>
      <c r="U322" s="138">
        <f t="shared" si="46"/>
        <v>0</v>
      </c>
      <c r="V322" s="138">
        <f t="shared" si="47"/>
        <v>0</v>
      </c>
    </row>
    <row r="323" spans="1:22" ht="15" hidden="1">
      <c r="A323" s="167"/>
      <c r="B323" s="168"/>
      <c r="C323" s="169"/>
      <c r="D323" s="169"/>
      <c r="E323" s="170"/>
      <c r="F323" s="58" t="str">
        <f>IF($N$301="","",IF($N$301="INDUSTRIAL",IF(OR($D$299="",$D$305=""),"",IF(OR(D323&gt;$D$306,E323&gt;$D$307),"Rev. Total. abona.",IF(D323="",IF(E323="","",E323/(0.92*1000)),IF(OR($D$299="SAN CRISTOBAL",$D$299="FLOREANA"),VLOOKUP(D323,'Estratos SCY - FLO'!$A$4:$M$108,IF($D$305="A1",2,IF($D$305="A",5,IF($D$305="B",8,11))))+E323/(0.92*1000),VLOOKUP(D323,'Estratos SCX - ISA'!$A$3:$M$107,IF($D$305="A1",2,IF($D$305="A",5,IF($D$305="B",8,11))))+E323/(0.92*1000))))),IF(OR($D$299="",$D$305=""),"",IF(OR(D323&gt;$D$306,E323&gt;$D$307),"Rev. Total. abona.",IF(D323="",IF(E323="","",E323/(0.92*1000)),IF(OR($D$299="SAN CRISTOBAL",$D$299="FLOREANA"),VLOOKUP(D323,'Estratos SCY - FLO'!$O$4:$S$108,IF($D$305="A1",2,IF($D$305="A",3,IF($D$305="B",4,5))))+E323/(0.92*1000),VLOOKUP(D323,'Estratos SCX - ISA'!$O$4:$S$108,IF($D$305="A1",2,IF($D$305="A",3,IF($D$305="B",4,5))))+E323/(0.92*1000)))))))</f>
        <v/>
      </c>
      <c r="G323" s="59" t="str">
        <f t="shared" si="48"/>
        <v/>
      </c>
      <c r="H323" s="183"/>
      <c r="I323" s="183"/>
      <c r="J323" s="59" t="str">
        <f>IF(OR(H323="",$D$10="",$N$10=""),"",IF($D$10="COBRE",VLOOKUP(CDV_PROY_BT!H323,FDV!$B$16:$E$24,IF(CDV_PROY_BT!$N$10="3F",3,4),FALSE),IF($D$10="ACS",VLOOKUP(CDV_PROY_BT!H323,FDV!$B$10:$E$15,IF(CDV_PROY_BT!$N$10="3F",3,4),FALSE),IF($D$10="5005 (PREENSAMBLADO)",VLOOKUP(CDV_PROY_BT!H323,FDV!$B$4:$E$9,IF(CDV_PROY_BT!$N$10="3F",3,4),FALSE),VLOOKUP(CDV_PROY_BT!H323,FDV!$B$25:$E$30,IF(CDV_PROY_BT!$N$10="3F",3,4),FALSE)))))</f>
        <v/>
      </c>
      <c r="K323" s="63" t="str">
        <f t="shared" si="45"/>
        <v/>
      </c>
      <c r="L323" s="62" t="str">
        <f t="shared" si="49"/>
        <v/>
      </c>
      <c r="M323" s="62" t="str">
        <f t="shared" si="50"/>
        <v/>
      </c>
      <c r="N323" s="155"/>
      <c r="U323" s="138">
        <f t="shared" si="46"/>
        <v>0</v>
      </c>
      <c r="V323" s="138">
        <f t="shared" si="47"/>
        <v>0</v>
      </c>
    </row>
    <row r="324" spans="1:22" ht="15" hidden="1">
      <c r="A324" s="171"/>
      <c r="B324" s="172"/>
      <c r="C324" s="173"/>
      <c r="D324" s="173"/>
      <c r="E324" s="170"/>
      <c r="F324" s="58" t="str">
        <f>IF($N$301="","",IF($N$301="INDUSTRIAL",IF(OR($D$299="",$D$305=""),"",IF(OR(D324&gt;$D$306,E324&gt;$D$307),"Rev. Total. abona.",IF(D324="",IF(E324="","",E324/(0.92*1000)),IF(OR($D$299="SAN CRISTOBAL",$D$299="FLOREANA"),VLOOKUP(D324,'Estratos SCY - FLO'!$A$4:$M$108,IF($D$305="A1",2,IF($D$305="A",5,IF($D$305="B",8,11))))+E324/(0.92*1000),VLOOKUP(D324,'Estratos SCX - ISA'!$A$3:$M$107,IF($D$305="A1",2,IF($D$305="A",5,IF($D$305="B",8,11))))+E324/(0.92*1000))))),IF(OR($D$299="",$D$305=""),"",IF(OR(D324&gt;$D$306,E324&gt;$D$307),"Rev. Total. abona.",IF(D324="",IF(E324="","",E324/(0.92*1000)),IF(OR($D$299="SAN CRISTOBAL",$D$299="FLOREANA"),VLOOKUP(D324,'Estratos SCY - FLO'!$O$4:$S$108,IF($D$305="A1",2,IF($D$305="A",3,IF($D$305="B",4,5))))+E324/(0.92*1000),VLOOKUP(D324,'Estratos SCX - ISA'!$O$4:$S$108,IF($D$305="A1",2,IF($D$305="A",3,IF($D$305="B",4,5))))+E324/(0.92*1000)))))))</f>
        <v/>
      </c>
      <c r="G324" s="59" t="str">
        <f t="shared" si="48"/>
        <v/>
      </c>
      <c r="H324" s="183"/>
      <c r="I324" s="183"/>
      <c r="J324" s="59" t="str">
        <f>IF(OR(H324="",$D$10="",$N$10=""),"",IF($D$10="COBRE",VLOOKUP(CDV_PROY_BT!H324,FDV!$B$16:$E$24,IF(CDV_PROY_BT!$N$10="3F",3,4),FALSE),IF($D$10="ACS",VLOOKUP(CDV_PROY_BT!H324,FDV!$B$10:$E$15,IF(CDV_PROY_BT!$N$10="3F",3,4),FALSE),IF($D$10="5005 (PREENSAMBLADO)",VLOOKUP(CDV_PROY_BT!H324,FDV!$B$4:$E$9,IF(CDV_PROY_BT!$N$10="3F",3,4),FALSE),VLOOKUP(CDV_PROY_BT!H324,FDV!$B$25:$E$30,IF(CDV_PROY_BT!$N$10="3F",3,4),FALSE)))))</f>
        <v/>
      </c>
      <c r="K324" s="63" t="str">
        <f t="shared" si="45"/>
        <v/>
      </c>
      <c r="L324" s="62" t="str">
        <f t="shared" si="49"/>
        <v/>
      </c>
      <c r="M324" s="62" t="str">
        <f t="shared" si="50"/>
        <v/>
      </c>
      <c r="N324" s="155"/>
      <c r="U324" s="138">
        <f t="shared" si="46"/>
        <v>0</v>
      </c>
      <c r="V324" s="138">
        <f t="shared" si="47"/>
        <v>0</v>
      </c>
    </row>
    <row r="325" spans="1:22" ht="15" hidden="1">
      <c r="A325" s="167"/>
      <c r="B325" s="168"/>
      <c r="C325" s="169"/>
      <c r="D325" s="169"/>
      <c r="E325" s="174"/>
      <c r="F325" s="58" t="str">
        <f>IF($N$301="","",IF($N$301="INDUSTRIAL",IF(OR($D$299="",$D$305=""),"",IF(OR(D325&gt;$D$306,E325&gt;$D$307),"Rev. Total. abona.",IF(D325="",IF(E325="","",E325/(0.92*1000)),IF(OR($D$299="SAN CRISTOBAL",$D$299="FLOREANA"),VLOOKUP(D325,'Estratos SCY - FLO'!$A$4:$M$108,IF($D$305="A1",2,IF($D$305="A",5,IF($D$305="B",8,11))))+E325/(0.92*1000),VLOOKUP(D325,'Estratos SCX - ISA'!$A$3:$M$107,IF($D$305="A1",2,IF($D$305="A",5,IF($D$305="B",8,11))))+E325/(0.92*1000))))),IF(OR($D$299="",$D$305=""),"",IF(OR(D325&gt;$D$306,E325&gt;$D$307),"Rev. Total. abona.",IF(D325="",IF(E325="","",E325/(0.92*1000)),IF(OR($D$299="SAN CRISTOBAL",$D$299="FLOREANA"),VLOOKUP(D325,'Estratos SCY - FLO'!$O$4:$S$108,IF($D$305="A1",2,IF($D$305="A",3,IF($D$305="B",4,5))))+E325/(0.92*1000),VLOOKUP(D325,'Estratos SCX - ISA'!$O$4:$S$108,IF($D$305="A1",2,IF($D$305="A",3,IF($D$305="B",4,5))))+E325/(0.92*1000)))))))</f>
        <v/>
      </c>
      <c r="G325" s="59" t="str">
        <f t="shared" si="48"/>
        <v/>
      </c>
      <c r="H325" s="183"/>
      <c r="I325" s="183"/>
      <c r="J325" s="59" t="str">
        <f>IF(OR(H325="",$D$10="",$N$10=""),"",IF($D$10="COBRE",VLOOKUP(CDV_PROY_BT!H325,FDV!$B$16:$E$24,IF(CDV_PROY_BT!$N$10="3F",3,4),FALSE),IF($D$10="ACS",VLOOKUP(CDV_PROY_BT!H325,FDV!$B$10:$E$15,IF(CDV_PROY_BT!$N$10="3F",3,4),FALSE),IF($D$10="5005 (PREENSAMBLADO)",VLOOKUP(CDV_PROY_BT!H325,FDV!$B$4:$E$9,IF(CDV_PROY_BT!$N$10="3F",3,4),FALSE),VLOOKUP(CDV_PROY_BT!H325,FDV!$B$25:$E$30,IF(CDV_PROY_BT!$N$10="3F",3,4),FALSE)))))</f>
        <v/>
      </c>
      <c r="K325" s="63" t="str">
        <f t="shared" si="45"/>
        <v/>
      </c>
      <c r="L325" s="62" t="str">
        <f t="shared" si="49"/>
        <v/>
      </c>
      <c r="M325" s="62" t="str">
        <f t="shared" si="50"/>
        <v/>
      </c>
      <c r="N325" s="155"/>
      <c r="U325" s="138">
        <f t="shared" si="46"/>
        <v>0</v>
      </c>
      <c r="V325" s="138">
        <f t="shared" si="47"/>
        <v>0</v>
      </c>
    </row>
    <row r="326" spans="1:22" ht="15" hidden="1">
      <c r="A326" s="175"/>
      <c r="B326" s="176"/>
      <c r="C326" s="177"/>
      <c r="D326" s="177"/>
      <c r="E326" s="170"/>
      <c r="F326" s="58" t="str">
        <f>IF($N$301="","",IF($N$301="INDUSTRIAL",IF(OR($D$299="",$D$305=""),"",IF(OR(D326&gt;$D$306,E326&gt;$D$307),"Rev. Total. abona.",IF(D326="",IF(E326="","",E326/(0.92*1000)),IF(OR($D$299="SAN CRISTOBAL",$D$299="FLOREANA"),VLOOKUP(D326,'Estratos SCY - FLO'!$A$4:$M$108,IF($D$305="A1",2,IF($D$305="A",5,IF($D$305="B",8,11))))+E326/(0.92*1000),VLOOKUP(D326,'Estratos SCX - ISA'!$A$3:$M$107,IF($D$305="A1",2,IF($D$305="A",5,IF($D$305="B",8,11))))+E326/(0.92*1000))))),IF(OR($D$299="",$D$305=""),"",IF(OR(D326&gt;$D$306,E326&gt;$D$307),"Rev. Total. abona.",IF(D326="",IF(E326="","",E326/(0.92*1000)),IF(OR($D$299="SAN CRISTOBAL",$D$299="FLOREANA"),VLOOKUP(D326,'Estratos SCY - FLO'!$O$4:$S$108,IF($D$305="A1",2,IF($D$305="A",3,IF($D$305="B",4,5))))+E326/(0.92*1000),VLOOKUP(D326,'Estratos SCX - ISA'!$O$4:$S$108,IF($D$305="A1",2,IF($D$305="A",3,IF($D$305="B",4,5))))+E326/(0.92*1000)))))))</f>
        <v/>
      </c>
      <c r="G326" s="59" t="str">
        <f t="shared" si="48"/>
        <v/>
      </c>
      <c r="H326" s="183"/>
      <c r="I326" s="183"/>
      <c r="J326" s="59" t="str">
        <f>IF(OR(H326="",$D$10="",$N$10=""),"",IF($D$10="COBRE",VLOOKUP(CDV_PROY_BT!H326,FDV!$B$16:$E$24,IF(CDV_PROY_BT!$N$10="3F",3,4),FALSE),IF($D$10="ACS",VLOOKUP(CDV_PROY_BT!H326,FDV!$B$10:$E$15,IF(CDV_PROY_BT!$N$10="3F",3,4),FALSE),IF($D$10="5005 (PREENSAMBLADO)",VLOOKUP(CDV_PROY_BT!H326,FDV!$B$4:$E$9,IF(CDV_PROY_BT!$N$10="3F",3,4),FALSE),VLOOKUP(CDV_PROY_BT!H326,FDV!$B$25:$E$30,IF(CDV_PROY_BT!$N$10="3F",3,4),FALSE)))))</f>
        <v/>
      </c>
      <c r="K326" s="63" t="str">
        <f t="shared" si="45"/>
        <v/>
      </c>
      <c r="L326" s="62" t="str">
        <f t="shared" si="49"/>
        <v/>
      </c>
      <c r="M326" s="62" t="str">
        <f t="shared" si="50"/>
        <v/>
      </c>
      <c r="N326" s="155"/>
      <c r="U326" s="138">
        <f t="shared" si="46"/>
        <v>0</v>
      </c>
      <c r="V326" s="138">
        <f t="shared" si="47"/>
        <v>0</v>
      </c>
    </row>
    <row r="327" spans="1:22" ht="15" hidden="1">
      <c r="A327" s="167"/>
      <c r="B327" s="168"/>
      <c r="C327" s="169"/>
      <c r="D327" s="169"/>
      <c r="E327" s="170"/>
      <c r="F327" s="58" t="str">
        <f>IF($N$301="","",IF($N$301="INDUSTRIAL",IF(OR($D$299="",$D$305=""),"",IF(OR(D327&gt;$D$306,E327&gt;$D$307),"Rev. Total. abona.",IF(D327="",IF(E327="","",E327/(0.92*1000)),IF(OR($D$299="SAN CRISTOBAL",$D$299="FLOREANA"),VLOOKUP(D327,'Estratos SCY - FLO'!$A$4:$M$108,IF($D$305="A1",2,IF($D$305="A",5,IF($D$305="B",8,11))))+E327/(0.92*1000),VLOOKUP(D327,'Estratos SCX - ISA'!$A$3:$M$107,IF($D$305="A1",2,IF($D$305="A",5,IF($D$305="B",8,11))))+E327/(0.92*1000))))),IF(OR($D$299="",$D$305=""),"",IF(OR(D327&gt;$D$306,E327&gt;$D$307),"Rev. Total. abona.",IF(D327="",IF(E327="","",E327/(0.92*1000)),IF(OR($D$299="SAN CRISTOBAL",$D$299="FLOREANA"),VLOOKUP(D327,'Estratos SCY - FLO'!$O$4:$S$108,IF($D$305="A1",2,IF($D$305="A",3,IF($D$305="B",4,5))))+E327/(0.92*1000),VLOOKUP(D327,'Estratos SCX - ISA'!$O$4:$S$108,IF($D$305="A1",2,IF($D$305="A",3,IF($D$305="B",4,5))))+E327/(0.92*1000)))))))</f>
        <v/>
      </c>
      <c r="G327" s="59" t="str">
        <f t="shared" si="48"/>
        <v/>
      </c>
      <c r="H327" s="183"/>
      <c r="I327" s="183"/>
      <c r="J327" s="59" t="str">
        <f>IF(OR(H327="",$D$10="",$N$10=""),"",IF($D$10="COBRE",VLOOKUP(CDV_PROY_BT!H327,FDV!$B$16:$E$24,IF(CDV_PROY_BT!$N$10="3F",3,4),FALSE),IF($D$10="ACS",VLOOKUP(CDV_PROY_BT!H327,FDV!$B$10:$E$15,IF(CDV_PROY_BT!$N$10="3F",3,4),FALSE),IF($D$10="5005 (PREENSAMBLADO)",VLOOKUP(CDV_PROY_BT!H327,FDV!$B$4:$E$9,IF(CDV_PROY_BT!$N$10="3F",3,4),FALSE),VLOOKUP(CDV_PROY_BT!H327,FDV!$B$25:$E$30,IF(CDV_PROY_BT!$N$10="3F",3,4),FALSE)))))</f>
        <v/>
      </c>
      <c r="K327" s="63" t="str">
        <f t="shared" si="45"/>
        <v/>
      </c>
      <c r="L327" s="62" t="str">
        <f t="shared" si="49"/>
        <v/>
      </c>
      <c r="M327" s="62" t="str">
        <f t="shared" si="50"/>
        <v/>
      </c>
      <c r="N327" s="155"/>
      <c r="U327" s="138">
        <f t="shared" si="46"/>
        <v>0</v>
      </c>
      <c r="V327" s="138">
        <f t="shared" si="47"/>
        <v>0</v>
      </c>
    </row>
    <row r="328" spans="1:22" ht="15" hidden="1">
      <c r="A328" s="167"/>
      <c r="B328" s="168"/>
      <c r="C328" s="169"/>
      <c r="D328" s="169"/>
      <c r="E328" s="170"/>
      <c r="F328" s="58" t="str">
        <f>IF($N$301="","",IF($N$301="INDUSTRIAL",IF(OR($D$299="",$D$305=""),"",IF(OR(D328&gt;$D$306,E328&gt;$D$307),"Rev. Total. abona.",IF(D328="",IF(E328="","",E328/(0.92*1000)),IF(OR($D$299="SAN CRISTOBAL",$D$299="FLOREANA"),VLOOKUP(D328,'Estratos SCY - FLO'!$A$4:$M$108,IF($D$305="A1",2,IF($D$305="A",5,IF($D$305="B",8,11))))+E328/(0.92*1000),VLOOKUP(D328,'Estratos SCX - ISA'!$A$3:$M$107,IF($D$305="A1",2,IF($D$305="A",5,IF($D$305="B",8,11))))+E328/(0.92*1000))))),IF(OR($D$299="",$D$305=""),"",IF(OR(D328&gt;$D$306,E328&gt;$D$307),"Rev. Total. abona.",IF(D328="",IF(E328="","",E328/(0.92*1000)),IF(OR($D$299="SAN CRISTOBAL",$D$299="FLOREANA"),VLOOKUP(D328,'Estratos SCY - FLO'!$O$4:$S$108,IF($D$305="A1",2,IF($D$305="A",3,IF($D$305="B",4,5))))+E328/(0.92*1000),VLOOKUP(D328,'Estratos SCX - ISA'!$O$4:$S$108,IF($D$305="A1",2,IF($D$305="A",3,IF($D$305="B",4,5))))+E328/(0.92*1000)))))))</f>
        <v/>
      </c>
      <c r="G328" s="59" t="str">
        <f t="shared" si="48"/>
        <v/>
      </c>
      <c r="H328" s="183"/>
      <c r="I328" s="183"/>
      <c r="J328" s="59" t="str">
        <f>IF(OR(H328="",$D$10="",$N$10=""),"",IF($D$10="COBRE",VLOOKUP(CDV_PROY_BT!H328,FDV!$B$16:$E$24,IF(CDV_PROY_BT!$N$10="3F",3,4),FALSE),IF($D$10="ACS",VLOOKUP(CDV_PROY_BT!H328,FDV!$B$10:$E$15,IF(CDV_PROY_BT!$N$10="3F",3,4),FALSE),IF($D$10="5005 (PREENSAMBLADO)",VLOOKUP(CDV_PROY_BT!H328,FDV!$B$4:$E$9,IF(CDV_PROY_BT!$N$10="3F",3,4),FALSE),VLOOKUP(CDV_PROY_BT!H328,FDV!$B$25:$E$30,IF(CDV_PROY_BT!$N$10="3F",3,4),FALSE)))))</f>
        <v/>
      </c>
      <c r="K328" s="63" t="str">
        <f t="shared" si="45"/>
        <v/>
      </c>
      <c r="L328" s="62" t="str">
        <f t="shared" si="49"/>
        <v/>
      </c>
      <c r="M328" s="62" t="str">
        <f t="shared" si="50"/>
        <v/>
      </c>
      <c r="N328" s="155"/>
      <c r="U328" s="138">
        <f t="shared" si="46"/>
        <v>0</v>
      </c>
      <c r="V328" s="138">
        <f t="shared" si="47"/>
        <v>0</v>
      </c>
    </row>
    <row r="329" spans="1:22" ht="15" hidden="1">
      <c r="A329" s="167"/>
      <c r="B329" s="168"/>
      <c r="C329" s="169"/>
      <c r="D329" s="169"/>
      <c r="E329" s="170"/>
      <c r="F329" s="58" t="str">
        <f>IF($N$301="","",IF($N$301="INDUSTRIAL",IF(OR($D$299="",$D$305=""),"",IF(OR(D329&gt;$D$306,E329&gt;$D$307),"Rev. Total. abona.",IF(D329="",IF(E329="","",E329/(0.92*1000)),IF(OR($D$299="SAN CRISTOBAL",$D$299="FLOREANA"),VLOOKUP(D329,'Estratos SCY - FLO'!$A$4:$M$108,IF($D$305="A1",2,IF($D$305="A",5,IF($D$305="B",8,11))))+E329/(0.92*1000),VLOOKUP(D329,'Estratos SCX - ISA'!$A$3:$M$107,IF($D$305="A1",2,IF($D$305="A",5,IF($D$305="B",8,11))))+E329/(0.92*1000))))),IF(OR($D$299="",$D$305=""),"",IF(OR(D329&gt;$D$306,E329&gt;$D$307),"Rev. Total. abona.",IF(D329="",IF(E329="","",E329/(0.92*1000)),IF(OR($D$299="SAN CRISTOBAL",$D$299="FLOREANA"),VLOOKUP(D329,'Estratos SCY - FLO'!$O$4:$S$108,IF($D$305="A1",2,IF($D$305="A",3,IF($D$305="B",4,5))))+E329/(0.92*1000),VLOOKUP(D329,'Estratos SCX - ISA'!$O$4:$S$108,IF($D$305="A1",2,IF($D$305="A",3,IF($D$305="B",4,5))))+E329/(0.92*1000)))))))</f>
        <v/>
      </c>
      <c r="G329" s="59" t="str">
        <f t="shared" si="48"/>
        <v/>
      </c>
      <c r="H329" s="183"/>
      <c r="I329" s="183"/>
      <c r="J329" s="59" t="str">
        <f>IF(OR(H329="",$D$10="",$N$10=""),"",IF($D$10="COBRE",VLOOKUP(CDV_PROY_BT!H329,FDV!$B$16:$E$24,IF(CDV_PROY_BT!$N$10="3F",3,4),FALSE),IF($D$10="ACS",VLOOKUP(CDV_PROY_BT!H329,FDV!$B$10:$E$15,IF(CDV_PROY_BT!$N$10="3F",3,4),FALSE),IF($D$10="5005 (PREENSAMBLADO)",VLOOKUP(CDV_PROY_BT!H329,FDV!$B$4:$E$9,IF(CDV_PROY_BT!$N$10="3F",3,4),FALSE),VLOOKUP(CDV_PROY_BT!H329,FDV!$B$25:$E$30,IF(CDV_PROY_BT!$N$10="3F",3,4),FALSE)))))</f>
        <v/>
      </c>
      <c r="K329" s="63" t="str">
        <f t="shared" si="45"/>
        <v/>
      </c>
      <c r="L329" s="62" t="str">
        <f t="shared" si="49"/>
        <v/>
      </c>
      <c r="M329" s="62" t="str">
        <f t="shared" si="50"/>
        <v/>
      </c>
      <c r="N329" s="155"/>
      <c r="U329" s="138">
        <f t="shared" si="46"/>
        <v>0</v>
      </c>
      <c r="V329" s="138">
        <f t="shared" si="47"/>
        <v>0</v>
      </c>
    </row>
    <row r="330" spans="1:22" ht="15" hidden="1">
      <c r="A330" s="167"/>
      <c r="B330" s="168"/>
      <c r="C330" s="169"/>
      <c r="D330" s="169"/>
      <c r="E330" s="170"/>
      <c r="F330" s="58" t="str">
        <f>IF($N$301="","",IF($N$301="INDUSTRIAL",IF(OR($D$299="",$D$305=""),"",IF(OR(D330&gt;$D$306,E330&gt;$D$307),"Rev. Total. abona.",IF(D330="",IF(E330="","",E330/(0.92*1000)),IF(OR($D$299="SAN CRISTOBAL",$D$299="FLOREANA"),VLOOKUP(D330,'Estratos SCY - FLO'!$A$4:$M$108,IF($D$305="A1",2,IF($D$305="A",5,IF($D$305="B",8,11))))+E330/(0.92*1000),VLOOKUP(D330,'Estratos SCX - ISA'!$A$3:$M$107,IF($D$305="A1",2,IF($D$305="A",5,IF($D$305="B",8,11))))+E330/(0.92*1000))))),IF(OR($D$299="",$D$305=""),"",IF(OR(D330&gt;$D$306,E330&gt;$D$307),"Rev. Total. abona.",IF(D330="",IF(E330="","",E330/(0.92*1000)),IF(OR($D$299="SAN CRISTOBAL",$D$299="FLOREANA"),VLOOKUP(D330,'Estratos SCY - FLO'!$O$4:$S$108,IF($D$305="A1",2,IF($D$305="A",3,IF($D$305="B",4,5))))+E330/(0.92*1000),VLOOKUP(D330,'Estratos SCX - ISA'!$O$4:$S$108,IF($D$305="A1",2,IF($D$305="A",3,IF($D$305="B",4,5))))+E330/(0.92*1000)))))))</f>
        <v/>
      </c>
      <c r="G330" s="59" t="str">
        <f t="shared" si="48"/>
        <v/>
      </c>
      <c r="H330" s="183"/>
      <c r="I330" s="183"/>
      <c r="J330" s="59" t="str">
        <f>IF(OR(H330="",$D$10="",$N$10=""),"",IF($D$10="COBRE",VLOOKUP(CDV_PROY_BT!H330,FDV!$B$16:$E$24,IF(CDV_PROY_BT!$N$10="3F",3,4),FALSE),IF($D$10="ACS",VLOOKUP(CDV_PROY_BT!H330,FDV!$B$10:$E$15,IF(CDV_PROY_BT!$N$10="3F",3,4),FALSE),IF($D$10="5005 (PREENSAMBLADO)",VLOOKUP(CDV_PROY_BT!H330,FDV!$B$4:$E$9,IF(CDV_PROY_BT!$N$10="3F",3,4),FALSE),VLOOKUP(CDV_PROY_BT!H330,FDV!$B$25:$E$30,IF(CDV_PROY_BT!$N$10="3F",3,4),FALSE)))))</f>
        <v/>
      </c>
      <c r="K330" s="63" t="str">
        <f t="shared" si="45"/>
        <v/>
      </c>
      <c r="L330" s="62" t="str">
        <f t="shared" si="49"/>
        <v/>
      </c>
      <c r="M330" s="62" t="str">
        <f t="shared" si="50"/>
        <v/>
      </c>
      <c r="N330" s="155"/>
      <c r="U330" s="138">
        <f t="shared" si="46"/>
        <v>0</v>
      </c>
      <c r="V330" s="138">
        <f t="shared" si="47"/>
        <v>0</v>
      </c>
    </row>
    <row r="331" spans="1:22" ht="15" hidden="1">
      <c r="A331" s="167"/>
      <c r="B331" s="168"/>
      <c r="C331" s="169"/>
      <c r="D331" s="169"/>
      <c r="E331" s="170"/>
      <c r="F331" s="58" t="str">
        <f>IF($N$301="","",IF($N$301="INDUSTRIAL",IF(OR($D$299="",$D$305=""),"",IF(OR(D331&gt;$D$306,E331&gt;$D$307),"Rev. Total. abona.",IF(D331="",IF(E331="","",E331/(0.92*1000)),IF(OR($D$299="SAN CRISTOBAL",$D$299="FLOREANA"),VLOOKUP(D331,'Estratos SCY - FLO'!$A$4:$M$108,IF($D$305="A1",2,IF($D$305="A",5,IF($D$305="B",8,11))))+E331/(0.92*1000),VLOOKUP(D331,'Estratos SCX - ISA'!$A$3:$M$107,IF($D$305="A1",2,IF($D$305="A",5,IF($D$305="B",8,11))))+E331/(0.92*1000))))),IF(OR($D$299="",$D$305=""),"",IF(OR(D331&gt;$D$306,E331&gt;$D$307),"Rev. Total. abona.",IF(D331="",IF(E331="","",E331/(0.92*1000)),IF(OR($D$299="SAN CRISTOBAL",$D$299="FLOREANA"),VLOOKUP(D331,'Estratos SCY - FLO'!$O$4:$S$108,IF($D$305="A1",2,IF($D$305="A",3,IF($D$305="B",4,5))))+E331/(0.92*1000),VLOOKUP(D331,'Estratos SCX - ISA'!$O$4:$S$108,IF($D$305="A1",2,IF($D$305="A",3,IF($D$305="B",4,5))))+E331/(0.92*1000)))))))</f>
        <v/>
      </c>
      <c r="G331" s="59" t="str">
        <f t="shared" si="48"/>
        <v/>
      </c>
      <c r="H331" s="183"/>
      <c r="I331" s="183"/>
      <c r="J331" s="59" t="str">
        <f>IF(OR(H331="",$D$10="",$N$10=""),"",IF($D$10="COBRE",VLOOKUP(CDV_PROY_BT!H331,FDV!$B$16:$E$24,IF(CDV_PROY_BT!$N$10="3F",3,4),FALSE),IF($D$10="ACS",VLOOKUP(CDV_PROY_BT!H331,FDV!$B$10:$E$15,IF(CDV_PROY_BT!$N$10="3F",3,4),FALSE),IF($D$10="5005 (PREENSAMBLADO)",VLOOKUP(CDV_PROY_BT!H331,FDV!$B$4:$E$9,IF(CDV_PROY_BT!$N$10="3F",3,4),FALSE),VLOOKUP(CDV_PROY_BT!H331,FDV!$B$25:$E$30,IF(CDV_PROY_BT!$N$10="3F",3,4),FALSE)))))</f>
        <v/>
      </c>
      <c r="K331" s="63" t="str">
        <f t="shared" si="45"/>
        <v/>
      </c>
      <c r="L331" s="62" t="str">
        <f t="shared" si="49"/>
        <v/>
      </c>
      <c r="M331" s="62" t="str">
        <f t="shared" si="50"/>
        <v/>
      </c>
      <c r="N331" s="155"/>
      <c r="U331" s="138">
        <f t="shared" si="46"/>
        <v>0</v>
      </c>
      <c r="V331" s="138">
        <f t="shared" si="47"/>
        <v>0</v>
      </c>
    </row>
    <row r="332" spans="1:22" ht="15" hidden="1">
      <c r="A332" s="167"/>
      <c r="B332" s="168"/>
      <c r="C332" s="169"/>
      <c r="D332" s="169"/>
      <c r="E332" s="170"/>
      <c r="F332" s="58" t="str">
        <f>IF($N$301="","",IF($N$301="INDUSTRIAL",IF(OR($D$299="",$D$305=""),"",IF(OR(D332&gt;$D$306,E332&gt;$D$307),"Rev. Total. abona.",IF(D332="",IF(E332="","",E332/(0.92*1000)),IF(OR($D$299="SAN CRISTOBAL",$D$299="FLOREANA"),VLOOKUP(D332,'Estratos SCY - FLO'!$A$4:$M$108,IF($D$305="A1",2,IF($D$305="A",5,IF($D$305="B",8,11))))+E332/(0.92*1000),VLOOKUP(D332,'Estratos SCX - ISA'!$A$3:$M$107,IF($D$305="A1",2,IF($D$305="A",5,IF($D$305="B",8,11))))+E332/(0.92*1000))))),IF(OR($D$299="",$D$305=""),"",IF(OR(D332&gt;$D$306,E332&gt;$D$307),"Rev. Total. abona.",IF(D332="",IF(E332="","",E332/(0.92*1000)),IF(OR($D$299="SAN CRISTOBAL",$D$299="FLOREANA"),VLOOKUP(D332,'Estratos SCY - FLO'!$O$4:$S$108,IF($D$305="A1",2,IF($D$305="A",3,IF($D$305="B",4,5))))+E332/(0.92*1000),VLOOKUP(D332,'Estratos SCX - ISA'!$O$4:$S$108,IF($D$305="A1",2,IF($D$305="A",3,IF($D$305="B",4,5))))+E332/(0.92*1000)))))))</f>
        <v/>
      </c>
      <c r="G332" s="59" t="str">
        <f t="shared" si="48"/>
        <v/>
      </c>
      <c r="H332" s="183"/>
      <c r="I332" s="183"/>
      <c r="J332" s="59" t="str">
        <f>IF(OR(H332="",$D$10="",$N$10=""),"",IF($D$10="COBRE",VLOOKUP(CDV_PROY_BT!H332,FDV!$B$16:$E$24,IF(CDV_PROY_BT!$N$10="3F",3,4),FALSE),IF($D$10="ACS",VLOOKUP(CDV_PROY_BT!H332,FDV!$B$10:$E$15,IF(CDV_PROY_BT!$N$10="3F",3,4),FALSE),IF($D$10="5005 (PREENSAMBLADO)",VLOOKUP(CDV_PROY_BT!H332,FDV!$B$4:$E$9,IF(CDV_PROY_BT!$N$10="3F",3,4),FALSE),VLOOKUP(CDV_PROY_BT!H332,FDV!$B$25:$E$30,IF(CDV_PROY_BT!$N$10="3F",3,4),FALSE)))))</f>
        <v/>
      </c>
      <c r="K332" s="63" t="str">
        <f t="shared" si="45"/>
        <v/>
      </c>
      <c r="L332" s="62" t="str">
        <f t="shared" si="49"/>
        <v/>
      </c>
      <c r="M332" s="62" t="str">
        <f t="shared" si="50"/>
        <v/>
      </c>
      <c r="N332" s="155"/>
      <c r="U332" s="138">
        <f t="shared" si="46"/>
        <v>0</v>
      </c>
      <c r="V332" s="138">
        <f t="shared" si="47"/>
        <v>0</v>
      </c>
    </row>
    <row r="333" spans="1:22" ht="15" hidden="1">
      <c r="A333" s="167"/>
      <c r="B333" s="168"/>
      <c r="C333" s="169"/>
      <c r="D333" s="169"/>
      <c r="E333" s="170"/>
      <c r="F333" s="58" t="str">
        <f>IF($N$301="","",IF($N$301="INDUSTRIAL",IF(OR($D$299="",$D$305=""),"",IF(OR(D333&gt;$D$306,E333&gt;$D$307),"Rev. Total. abona.",IF(D333="",IF(E333="","",E333/(0.92*1000)),IF(OR($D$299="SAN CRISTOBAL",$D$299="FLOREANA"),VLOOKUP(D333,'Estratos SCY - FLO'!$A$4:$M$108,IF($D$305="A1",2,IF($D$305="A",5,IF($D$305="B",8,11))))+E333/(0.92*1000),VLOOKUP(D333,'Estratos SCX - ISA'!$A$3:$M$107,IF($D$305="A1",2,IF($D$305="A",5,IF($D$305="B",8,11))))+E333/(0.92*1000))))),IF(OR($D$299="",$D$305=""),"",IF(OR(D333&gt;$D$306,E333&gt;$D$307),"Rev. Total. abona.",IF(D333="",IF(E333="","",E333/(0.92*1000)),IF(OR($D$299="SAN CRISTOBAL",$D$299="FLOREANA"),VLOOKUP(D333,'Estratos SCY - FLO'!$O$4:$S$108,IF($D$305="A1",2,IF($D$305="A",3,IF($D$305="B",4,5))))+E333/(0.92*1000),VLOOKUP(D333,'Estratos SCX - ISA'!$O$4:$S$108,IF($D$305="A1",2,IF($D$305="A",3,IF($D$305="B",4,5))))+E333/(0.92*1000)))))))</f>
        <v/>
      </c>
      <c r="G333" s="59" t="str">
        <f t="shared" si="48"/>
        <v/>
      </c>
      <c r="H333" s="183"/>
      <c r="I333" s="183"/>
      <c r="J333" s="59" t="str">
        <f>IF(OR(H333="",$D$10="",$N$10=""),"",IF($D$10="COBRE",VLOOKUP(CDV_PROY_BT!H333,FDV!$B$16:$E$24,IF(CDV_PROY_BT!$N$10="3F",3,4),FALSE),IF($D$10="ACS",VLOOKUP(CDV_PROY_BT!H333,FDV!$B$10:$E$15,IF(CDV_PROY_BT!$N$10="3F",3,4),FALSE),IF($D$10="5005 (PREENSAMBLADO)",VLOOKUP(CDV_PROY_BT!H333,FDV!$B$4:$E$9,IF(CDV_PROY_BT!$N$10="3F",3,4),FALSE),VLOOKUP(CDV_PROY_BT!H333,FDV!$B$25:$E$30,IF(CDV_PROY_BT!$N$10="3F",3,4),FALSE)))))</f>
        <v/>
      </c>
      <c r="K333" s="63" t="str">
        <f t="shared" si="45"/>
        <v/>
      </c>
      <c r="L333" s="62" t="str">
        <f t="shared" si="49"/>
        <v/>
      </c>
      <c r="M333" s="62" t="str">
        <f t="shared" si="50"/>
        <v/>
      </c>
      <c r="N333" s="155"/>
      <c r="U333" s="138">
        <f t="shared" si="46"/>
        <v>0</v>
      </c>
      <c r="V333" s="138">
        <f t="shared" si="47"/>
        <v>0</v>
      </c>
    </row>
    <row r="334" spans="1:22" ht="15" hidden="1">
      <c r="A334" s="167"/>
      <c r="B334" s="168"/>
      <c r="C334" s="169"/>
      <c r="D334" s="169"/>
      <c r="E334" s="170"/>
      <c r="F334" s="58" t="str">
        <f>IF($N$301="","",IF($N$301="INDUSTRIAL",IF(OR($D$299="",$D$305=""),"",IF(OR(D334&gt;$D$306,E334&gt;$D$307),"Rev. Total. abona.",IF(D334="",IF(E334="","",E334/(0.92*1000)),IF(OR($D$299="SAN CRISTOBAL",$D$299="FLOREANA"),VLOOKUP(D334,'Estratos SCY - FLO'!$A$4:$M$108,IF($D$305="A1",2,IF($D$305="A",5,IF($D$305="B",8,11))))+E334/(0.92*1000),VLOOKUP(D334,'Estratos SCX - ISA'!$A$3:$M$107,IF($D$305="A1",2,IF($D$305="A",5,IF($D$305="B",8,11))))+E334/(0.92*1000))))),IF(OR($D$299="",$D$305=""),"",IF(OR(D334&gt;$D$306,E334&gt;$D$307),"Rev. Total. abona.",IF(D334="",IF(E334="","",E334/(0.92*1000)),IF(OR($D$299="SAN CRISTOBAL",$D$299="FLOREANA"),VLOOKUP(D334,'Estratos SCY - FLO'!$O$4:$S$108,IF($D$305="A1",2,IF($D$305="A",3,IF($D$305="B",4,5))))+E334/(0.92*1000),VLOOKUP(D334,'Estratos SCX - ISA'!$O$4:$S$108,IF($D$305="A1",2,IF($D$305="A",3,IF($D$305="B",4,5))))+E334/(0.92*1000)))))))</f>
        <v/>
      </c>
      <c r="G334" s="59" t="str">
        <f t="shared" si="48"/>
        <v/>
      </c>
      <c r="H334" s="183"/>
      <c r="I334" s="183"/>
      <c r="J334" s="59" t="str">
        <f>IF(OR(H334="",$D$10="",$N$10=""),"",IF($D$10="COBRE",VLOOKUP(CDV_PROY_BT!H334,FDV!$B$16:$E$24,IF(CDV_PROY_BT!$N$10="3F",3,4),FALSE),IF($D$10="ACS",VLOOKUP(CDV_PROY_BT!H334,FDV!$B$10:$E$15,IF(CDV_PROY_BT!$N$10="3F",3,4),FALSE),IF($D$10="5005 (PREENSAMBLADO)",VLOOKUP(CDV_PROY_BT!H334,FDV!$B$4:$E$9,IF(CDV_PROY_BT!$N$10="3F",3,4),FALSE),VLOOKUP(CDV_PROY_BT!H334,FDV!$B$25:$E$30,IF(CDV_PROY_BT!$N$10="3F",3,4),FALSE)))))</f>
        <v/>
      </c>
      <c r="K334" s="63" t="str">
        <f t="shared" si="45"/>
        <v/>
      </c>
      <c r="L334" s="62" t="str">
        <f t="shared" si="49"/>
        <v/>
      </c>
      <c r="M334" s="62" t="str">
        <f t="shared" si="50"/>
        <v/>
      </c>
      <c r="N334" s="155"/>
      <c r="U334" s="138">
        <f t="shared" si="46"/>
        <v>0</v>
      </c>
      <c r="V334" s="138">
        <f t="shared" si="47"/>
        <v>0</v>
      </c>
    </row>
    <row r="335" spans="1:22" ht="15" hidden="1">
      <c r="A335" s="167"/>
      <c r="B335" s="168"/>
      <c r="C335" s="169"/>
      <c r="D335" s="169"/>
      <c r="E335" s="170"/>
      <c r="F335" s="58" t="str">
        <f>IF($N$301="","",IF($N$301="INDUSTRIAL",IF(OR($D$299="",$D$305=""),"",IF(OR(D335&gt;$D$306,E335&gt;$D$307),"Rev. Total. abona.",IF(D335="",IF(E335="","",E335/(0.92*1000)),IF(OR($D$299="SAN CRISTOBAL",$D$299="FLOREANA"),VLOOKUP(D335,'Estratos SCY - FLO'!$A$4:$M$108,IF($D$305="A1",2,IF($D$305="A",5,IF($D$305="B",8,11))))+E335/(0.92*1000),VLOOKUP(D335,'Estratos SCX - ISA'!$A$3:$M$107,IF($D$305="A1",2,IF($D$305="A",5,IF($D$305="B",8,11))))+E335/(0.92*1000))))),IF(OR($D$299="",$D$305=""),"",IF(OR(D335&gt;$D$306,E335&gt;$D$307),"Rev. Total. abona.",IF(D335="",IF(E335="","",E335/(0.92*1000)),IF(OR($D$299="SAN CRISTOBAL",$D$299="FLOREANA"),VLOOKUP(D335,'Estratos SCY - FLO'!$O$4:$S$108,IF($D$305="A1",2,IF($D$305="A",3,IF($D$305="B",4,5))))+E335/(0.92*1000),VLOOKUP(D335,'Estratos SCX - ISA'!$O$4:$S$108,IF($D$305="A1",2,IF($D$305="A",3,IF($D$305="B",4,5))))+E335/(0.92*1000)))))))</f>
        <v/>
      </c>
      <c r="G335" s="59" t="str">
        <f t="shared" si="48"/>
        <v/>
      </c>
      <c r="H335" s="183"/>
      <c r="I335" s="183"/>
      <c r="J335" s="59" t="str">
        <f>IF(OR(H335="",$D$10="",$N$10=""),"",IF($D$10="COBRE",VLOOKUP(CDV_PROY_BT!H335,FDV!$B$16:$E$24,IF(CDV_PROY_BT!$N$10="3F",3,4),FALSE),IF($D$10="ACS",VLOOKUP(CDV_PROY_BT!H335,FDV!$B$10:$E$15,IF(CDV_PROY_BT!$N$10="3F",3,4),FALSE),IF($D$10="5005 (PREENSAMBLADO)",VLOOKUP(CDV_PROY_BT!H335,FDV!$B$4:$E$9,IF(CDV_PROY_BT!$N$10="3F",3,4),FALSE),VLOOKUP(CDV_PROY_BT!H335,FDV!$B$25:$E$30,IF(CDV_PROY_BT!$N$10="3F",3,4),FALSE)))))</f>
        <v/>
      </c>
      <c r="K335" s="63" t="str">
        <f t="shared" si="45"/>
        <v/>
      </c>
      <c r="L335" s="62" t="str">
        <f t="shared" si="49"/>
        <v/>
      </c>
      <c r="M335" s="62" t="str">
        <f t="shared" si="50"/>
        <v/>
      </c>
      <c r="N335" s="155"/>
      <c r="U335" s="138">
        <f t="shared" si="46"/>
        <v>0</v>
      </c>
      <c r="V335" s="138">
        <f t="shared" si="47"/>
        <v>0</v>
      </c>
    </row>
    <row r="336" spans="1:22" ht="15" hidden="1">
      <c r="A336" s="167"/>
      <c r="B336" s="168"/>
      <c r="C336" s="169"/>
      <c r="D336" s="169"/>
      <c r="E336" s="170"/>
      <c r="F336" s="58" t="str">
        <f>IF($N$301="","",IF($N$301="INDUSTRIAL",IF(OR($D$299="",$D$305=""),"",IF(OR(D336&gt;$D$306,E336&gt;$D$307),"Rev. Total. abona.",IF(D336="",IF(E336="","",E336/(0.92*1000)),IF(OR($D$299="SAN CRISTOBAL",$D$299="FLOREANA"),VLOOKUP(D336,'Estratos SCY - FLO'!$A$4:$M$108,IF($D$305="A1",2,IF($D$305="A",5,IF($D$305="B",8,11))))+E336/(0.92*1000),VLOOKUP(D336,'Estratos SCX - ISA'!$A$3:$M$107,IF($D$305="A1",2,IF($D$305="A",5,IF($D$305="B",8,11))))+E336/(0.92*1000))))),IF(OR($D$299="",$D$305=""),"",IF(OR(D336&gt;$D$306,E336&gt;$D$307),"Rev. Total. abona.",IF(D336="",IF(E336="","",E336/(0.92*1000)),IF(OR($D$299="SAN CRISTOBAL",$D$299="FLOREANA"),VLOOKUP(D336,'Estratos SCY - FLO'!$O$4:$S$108,IF($D$305="A1",2,IF($D$305="A",3,IF($D$305="B",4,5))))+E336/(0.92*1000),VLOOKUP(D336,'Estratos SCX - ISA'!$O$4:$S$108,IF($D$305="A1",2,IF($D$305="A",3,IF($D$305="B",4,5))))+E336/(0.92*1000)))))))</f>
        <v/>
      </c>
      <c r="G336" s="59" t="str">
        <f t="shared" si="48"/>
        <v/>
      </c>
      <c r="H336" s="183"/>
      <c r="I336" s="183"/>
      <c r="J336" s="59" t="str">
        <f>IF(OR(H336="",$D$10="",$N$10=""),"",IF($D$10="COBRE",VLOOKUP(CDV_PROY_BT!H336,FDV!$B$16:$E$24,IF(CDV_PROY_BT!$N$10="3F",3,4),FALSE),IF($D$10="ACS",VLOOKUP(CDV_PROY_BT!H336,FDV!$B$10:$E$15,IF(CDV_PROY_BT!$N$10="3F",3,4),FALSE),IF($D$10="5005 (PREENSAMBLADO)",VLOOKUP(CDV_PROY_BT!H336,FDV!$B$4:$E$9,IF(CDV_PROY_BT!$N$10="3F",3,4),FALSE),VLOOKUP(CDV_PROY_BT!H336,FDV!$B$25:$E$30,IF(CDV_PROY_BT!$N$10="3F",3,4),FALSE)))))</f>
        <v/>
      </c>
      <c r="K336" s="63" t="str">
        <f t="shared" si="45"/>
        <v/>
      </c>
      <c r="L336" s="62" t="str">
        <f t="shared" si="49"/>
        <v/>
      </c>
      <c r="M336" s="62" t="str">
        <f t="shared" si="50"/>
        <v/>
      </c>
      <c r="N336" s="155"/>
      <c r="U336" s="138">
        <f t="shared" si="46"/>
        <v>0</v>
      </c>
      <c r="V336" s="138">
        <f t="shared" si="47"/>
        <v>0</v>
      </c>
    </row>
    <row r="337" spans="1:22" ht="15" hidden="1">
      <c r="A337" s="167"/>
      <c r="B337" s="168"/>
      <c r="C337" s="169"/>
      <c r="D337" s="169"/>
      <c r="E337" s="170"/>
      <c r="F337" s="58" t="str">
        <f>IF($N$301="","",IF($N$301="INDUSTRIAL",IF(OR($D$299="",$D$305=""),"",IF(OR(D337&gt;$D$306,E337&gt;$D$307),"Rev. Total. abona.",IF(D337="",IF(E337="","",E337/(0.92*1000)),IF(OR($D$299="SAN CRISTOBAL",$D$299="FLOREANA"),VLOOKUP(D337,'Estratos SCY - FLO'!$A$4:$M$108,IF($D$305="A1",2,IF($D$305="A",5,IF($D$305="B",8,11))))+E337/(0.92*1000),VLOOKUP(D337,'Estratos SCX - ISA'!$A$3:$M$107,IF($D$305="A1",2,IF($D$305="A",5,IF($D$305="B",8,11))))+E337/(0.92*1000))))),IF(OR($D$299="",$D$305=""),"",IF(OR(D337&gt;$D$306,E337&gt;$D$307),"Rev. Total. abona.",IF(D337="",IF(E337="","",E337/(0.92*1000)),IF(OR($D$299="SAN CRISTOBAL",$D$299="FLOREANA"),VLOOKUP(D337,'Estratos SCY - FLO'!$O$4:$S$108,IF($D$305="A1",2,IF($D$305="A",3,IF($D$305="B",4,5))))+E337/(0.92*1000),VLOOKUP(D337,'Estratos SCX - ISA'!$O$4:$S$108,IF($D$305="A1",2,IF($D$305="A",3,IF($D$305="B",4,5))))+E337/(0.92*1000)))))))</f>
        <v/>
      </c>
      <c r="G337" s="59" t="str">
        <f t="shared" si="48"/>
        <v/>
      </c>
      <c r="H337" s="183"/>
      <c r="I337" s="183"/>
      <c r="J337" s="59" t="str">
        <f>IF(OR(H337="",$D$10="",$N$10=""),"",IF($D$10="COBRE",VLOOKUP(CDV_PROY_BT!H337,FDV!$B$16:$E$24,IF(CDV_PROY_BT!$N$10="3F",3,4),FALSE),IF($D$10="ACS",VLOOKUP(CDV_PROY_BT!H337,FDV!$B$10:$E$15,IF(CDV_PROY_BT!$N$10="3F",3,4),FALSE),IF($D$10="5005 (PREENSAMBLADO)",VLOOKUP(CDV_PROY_BT!H337,FDV!$B$4:$E$9,IF(CDV_PROY_BT!$N$10="3F",3,4),FALSE),VLOOKUP(CDV_PROY_BT!H337,FDV!$B$25:$E$30,IF(CDV_PROY_BT!$N$10="3F",3,4),FALSE)))))</f>
        <v/>
      </c>
      <c r="K337" s="63" t="str">
        <f t="shared" si="45"/>
        <v/>
      </c>
      <c r="L337" s="62" t="str">
        <f t="shared" si="49"/>
        <v/>
      </c>
      <c r="M337" s="62" t="str">
        <f t="shared" si="50"/>
        <v/>
      </c>
      <c r="N337" s="155"/>
      <c r="U337" s="138">
        <f t="shared" si="46"/>
        <v>0</v>
      </c>
      <c r="V337" s="138">
        <f t="shared" si="47"/>
        <v>0</v>
      </c>
    </row>
    <row r="338" spans="1:22" ht="15" hidden="1">
      <c r="A338" s="167"/>
      <c r="B338" s="168"/>
      <c r="C338" s="169"/>
      <c r="D338" s="169"/>
      <c r="E338" s="170"/>
      <c r="F338" s="58" t="str">
        <f>IF($N$301="","",IF($N$301="INDUSTRIAL",IF(OR($D$299="",$D$305=""),"",IF(OR(D338&gt;$D$306,E338&gt;$D$307),"Rev. Total. abona.",IF(D338="",IF(E338="","",E338/(0.92*1000)),IF(OR($D$299="SAN CRISTOBAL",$D$299="FLOREANA"),VLOOKUP(D338,'Estratos SCY - FLO'!$A$4:$M$108,IF($D$305="A1",2,IF($D$305="A",5,IF($D$305="B",8,11))))+E338/(0.92*1000),VLOOKUP(D338,'Estratos SCX - ISA'!$A$3:$M$107,IF($D$305="A1",2,IF($D$305="A",5,IF($D$305="B",8,11))))+E338/(0.92*1000))))),IF(OR($D$299="",$D$305=""),"",IF(OR(D338&gt;$D$306,E338&gt;$D$307),"Rev. Total. abona.",IF(D338="",IF(E338="","",E338/(0.92*1000)),IF(OR($D$299="SAN CRISTOBAL",$D$299="FLOREANA"),VLOOKUP(D338,'Estratos SCY - FLO'!$O$4:$S$108,IF($D$305="A1",2,IF($D$305="A",3,IF($D$305="B",4,5))))+E338/(0.92*1000),VLOOKUP(D338,'Estratos SCX - ISA'!$O$4:$S$108,IF($D$305="A1",2,IF($D$305="A",3,IF($D$305="B",4,5))))+E338/(0.92*1000)))))))</f>
        <v/>
      </c>
      <c r="G338" s="59" t="str">
        <f t="shared" si="48"/>
        <v/>
      </c>
      <c r="H338" s="183"/>
      <c r="I338" s="183"/>
      <c r="J338" s="59" t="str">
        <f>IF(OR(H338="",$D$10="",$N$10=""),"",IF($D$10="COBRE",VLOOKUP(CDV_PROY_BT!H338,FDV!$B$16:$E$24,IF(CDV_PROY_BT!$N$10="3F",3,4),FALSE),IF($D$10="ACS",VLOOKUP(CDV_PROY_BT!H338,FDV!$B$10:$E$15,IF(CDV_PROY_BT!$N$10="3F",3,4),FALSE),IF($D$10="5005 (PREENSAMBLADO)",VLOOKUP(CDV_PROY_BT!H338,FDV!$B$4:$E$9,IF(CDV_PROY_BT!$N$10="3F",3,4),FALSE),VLOOKUP(CDV_PROY_BT!H338,FDV!$B$25:$E$30,IF(CDV_PROY_BT!$N$10="3F",3,4),FALSE)))))</f>
        <v/>
      </c>
      <c r="K338" s="63" t="str">
        <f t="shared" si="45"/>
        <v/>
      </c>
      <c r="L338" s="62" t="str">
        <f t="shared" si="49"/>
        <v/>
      </c>
      <c r="M338" s="62" t="str">
        <f t="shared" si="50"/>
        <v/>
      </c>
      <c r="N338" s="155"/>
      <c r="U338" s="138">
        <f t="shared" si="46"/>
        <v>0</v>
      </c>
      <c r="V338" s="138">
        <f t="shared" si="47"/>
        <v>0</v>
      </c>
    </row>
    <row r="339" spans="1:22" ht="15" hidden="1">
      <c r="A339" s="167"/>
      <c r="B339" s="168"/>
      <c r="C339" s="169"/>
      <c r="D339" s="169"/>
      <c r="E339" s="170"/>
      <c r="F339" s="58" t="str">
        <f>IF($N$301="","",IF($N$301="INDUSTRIAL",IF(OR($D$299="",$D$305=""),"",IF(OR(D339&gt;$D$306,E339&gt;$D$307),"Rev. Total. abona.",IF(D339="",IF(E339="","",E339/(0.92*1000)),IF(OR($D$299="SAN CRISTOBAL",$D$299="FLOREANA"),VLOOKUP(D339,'Estratos SCY - FLO'!$A$4:$M$108,IF($D$305="A1",2,IF($D$305="A",5,IF($D$305="B",8,11))))+E339/(0.92*1000),VLOOKUP(D339,'Estratos SCX - ISA'!$A$3:$M$107,IF($D$305="A1",2,IF($D$305="A",5,IF($D$305="B",8,11))))+E339/(0.92*1000))))),IF(OR($D$299="",$D$305=""),"",IF(OR(D339&gt;$D$306,E339&gt;$D$307),"Rev. Total. abona.",IF(D339="",IF(E339="","",E339/(0.92*1000)),IF(OR($D$299="SAN CRISTOBAL",$D$299="FLOREANA"),VLOOKUP(D339,'Estratos SCY - FLO'!$O$4:$S$108,IF($D$305="A1",2,IF($D$305="A",3,IF($D$305="B",4,5))))+E339/(0.92*1000),VLOOKUP(D339,'Estratos SCX - ISA'!$O$4:$S$108,IF($D$305="A1",2,IF($D$305="A",3,IF($D$305="B",4,5))))+E339/(0.92*1000)))))))</f>
        <v/>
      </c>
      <c r="G339" s="59" t="str">
        <f t="shared" si="48"/>
        <v/>
      </c>
      <c r="H339" s="183"/>
      <c r="I339" s="183"/>
      <c r="J339" s="59" t="str">
        <f>IF(OR(H339="",$D$10="",$N$10=""),"",IF($D$10="COBRE",VLOOKUP(CDV_PROY_BT!H339,FDV!$B$16:$E$24,IF(CDV_PROY_BT!$N$10="3F",3,4),FALSE),IF($D$10="ACS",VLOOKUP(CDV_PROY_BT!H339,FDV!$B$10:$E$15,IF(CDV_PROY_BT!$N$10="3F",3,4),FALSE),IF($D$10="5005 (PREENSAMBLADO)",VLOOKUP(CDV_PROY_BT!H339,FDV!$B$4:$E$9,IF(CDV_PROY_BT!$N$10="3F",3,4),FALSE),VLOOKUP(CDV_PROY_BT!H339,FDV!$B$25:$E$30,IF(CDV_PROY_BT!$N$10="3F",3,4),FALSE)))))</f>
        <v/>
      </c>
      <c r="K339" s="63" t="str">
        <f t="shared" si="45"/>
        <v/>
      </c>
      <c r="L339" s="62" t="str">
        <f t="shared" si="49"/>
        <v/>
      </c>
      <c r="M339" s="62" t="str">
        <f t="shared" si="50"/>
        <v/>
      </c>
      <c r="N339" s="155"/>
      <c r="U339" s="138">
        <f t="shared" si="46"/>
        <v>0</v>
      </c>
      <c r="V339" s="138">
        <f t="shared" si="47"/>
        <v>0</v>
      </c>
    </row>
    <row r="340" spans="1:22" ht="15" hidden="1">
      <c r="A340" s="167"/>
      <c r="B340" s="168"/>
      <c r="C340" s="169"/>
      <c r="D340" s="169"/>
      <c r="E340" s="170"/>
      <c r="F340" s="58" t="str">
        <f>IF($N$301="","",IF($N$301="INDUSTRIAL",IF(OR($D$299="",$D$305=""),"",IF(OR(D340&gt;$D$306,E340&gt;$D$307),"Rev. Total. abona.",IF(D340="",IF(E340="","",E340/(0.92*1000)),IF(OR($D$299="SAN CRISTOBAL",$D$299="FLOREANA"),VLOOKUP(D340,'Estratos SCY - FLO'!$A$4:$M$108,IF($D$305="A1",2,IF($D$305="A",5,IF($D$305="B",8,11))))+E340/(0.92*1000),VLOOKUP(D340,'Estratos SCX - ISA'!$A$3:$M$107,IF($D$305="A1",2,IF($D$305="A",5,IF($D$305="B",8,11))))+E340/(0.92*1000))))),IF(OR($D$299="",$D$305=""),"",IF(OR(D340&gt;$D$306,E340&gt;$D$307),"Rev. Total. abona.",IF(D340="",IF(E340="","",E340/(0.92*1000)),IF(OR($D$299="SAN CRISTOBAL",$D$299="FLOREANA"),VLOOKUP(D340,'Estratos SCY - FLO'!$O$4:$S$108,IF($D$305="A1",2,IF($D$305="A",3,IF($D$305="B",4,5))))+E340/(0.92*1000),VLOOKUP(D340,'Estratos SCX - ISA'!$O$4:$S$108,IF($D$305="A1",2,IF($D$305="A",3,IF($D$305="B",4,5))))+E340/(0.92*1000)))))))</f>
        <v/>
      </c>
      <c r="G340" s="59" t="str">
        <f t="shared" si="48"/>
        <v/>
      </c>
      <c r="H340" s="183"/>
      <c r="I340" s="183"/>
      <c r="J340" s="59" t="str">
        <f>IF(OR(H340="",$D$10="",$N$10=""),"",IF($D$10="COBRE",VLOOKUP(CDV_PROY_BT!H340,FDV!$B$16:$E$24,IF(CDV_PROY_BT!$N$10="3F",3,4),FALSE),IF($D$10="ACS",VLOOKUP(CDV_PROY_BT!H340,FDV!$B$10:$E$15,IF(CDV_PROY_BT!$N$10="3F",3,4),FALSE),IF($D$10="5005 (PREENSAMBLADO)",VLOOKUP(CDV_PROY_BT!H340,FDV!$B$4:$E$9,IF(CDV_PROY_BT!$N$10="3F",3,4),FALSE),VLOOKUP(CDV_PROY_BT!H340,FDV!$B$25:$E$30,IF(CDV_PROY_BT!$N$10="3F",3,4),FALSE)))))</f>
        <v/>
      </c>
      <c r="K340" s="63" t="str">
        <f t="shared" si="45"/>
        <v/>
      </c>
      <c r="L340" s="62" t="str">
        <f t="shared" si="49"/>
        <v/>
      </c>
      <c r="M340" s="62" t="str">
        <f t="shared" si="50"/>
        <v/>
      </c>
      <c r="N340" s="155"/>
      <c r="U340" s="138">
        <f t="shared" si="46"/>
        <v>0</v>
      </c>
      <c r="V340" s="138">
        <f t="shared" si="47"/>
        <v>0</v>
      </c>
    </row>
    <row r="341" spans="1:22" ht="15" hidden="1">
      <c r="A341" s="167"/>
      <c r="B341" s="168"/>
      <c r="C341" s="169"/>
      <c r="D341" s="169"/>
      <c r="E341" s="170"/>
      <c r="F341" s="58" t="str">
        <f>IF($N$301="","",IF($N$301="INDUSTRIAL",IF(OR($D$299="",$D$305=""),"",IF(OR(D341&gt;$D$306,E341&gt;$D$307),"Rev. Total. abona.",IF(D341="",IF(E341="","",E341/(0.92*1000)),IF(OR($D$299="SAN CRISTOBAL",$D$299="FLOREANA"),VLOOKUP(D341,'Estratos SCY - FLO'!$A$4:$M$108,IF($D$305="A1",2,IF($D$305="A",5,IF($D$305="B",8,11))))+E341/(0.92*1000),VLOOKUP(D341,'Estratos SCX - ISA'!$A$3:$M$107,IF($D$305="A1",2,IF($D$305="A",5,IF($D$305="B",8,11))))+E341/(0.92*1000))))),IF(OR($D$299="",$D$305=""),"",IF(OR(D341&gt;$D$306,E341&gt;$D$307),"Rev. Total. abona.",IF(D341="",IF(E341="","",E341/(0.92*1000)),IF(OR($D$299="SAN CRISTOBAL",$D$299="FLOREANA"),VLOOKUP(D341,'Estratos SCY - FLO'!$O$4:$S$108,IF($D$305="A1",2,IF($D$305="A",3,IF($D$305="B",4,5))))+E341/(0.92*1000),VLOOKUP(D341,'Estratos SCX - ISA'!$O$4:$S$108,IF($D$305="A1",2,IF($D$305="A",3,IF($D$305="B",4,5))))+E341/(0.92*1000)))))))</f>
        <v/>
      </c>
      <c r="G341" s="59" t="str">
        <f t="shared" si="48"/>
        <v/>
      </c>
      <c r="H341" s="183"/>
      <c r="I341" s="183"/>
      <c r="J341" s="59" t="str">
        <f>IF(OR(H341="",$D$10="",$N$10=""),"",IF($D$10="COBRE",VLOOKUP(CDV_PROY_BT!H341,FDV!$B$16:$E$24,IF(CDV_PROY_BT!$N$10="3F",3,4),FALSE),IF($D$10="ACS",VLOOKUP(CDV_PROY_BT!H341,FDV!$B$10:$E$15,IF(CDV_PROY_BT!$N$10="3F",3,4),FALSE),IF($D$10="5005 (PREENSAMBLADO)",VLOOKUP(CDV_PROY_BT!H341,FDV!$B$4:$E$9,IF(CDV_PROY_BT!$N$10="3F",3,4),FALSE),VLOOKUP(CDV_PROY_BT!H341,FDV!$B$25:$E$30,IF(CDV_PROY_BT!$N$10="3F",3,4),FALSE)))))</f>
        <v/>
      </c>
      <c r="K341" s="63" t="str">
        <f t="shared" si="45"/>
        <v/>
      </c>
      <c r="L341" s="62" t="str">
        <f t="shared" si="49"/>
        <v/>
      </c>
      <c r="M341" s="62" t="str">
        <f t="shared" si="50"/>
        <v/>
      </c>
      <c r="N341" s="156"/>
      <c r="U341" s="138">
        <f t="shared" si="46"/>
        <v>0</v>
      </c>
      <c r="V341" s="138">
        <f t="shared" si="47"/>
        <v>0</v>
      </c>
    </row>
    <row r="342" spans="1:22" ht="15.75" hidden="1" thickBot="1">
      <c r="A342" s="178"/>
      <c r="B342" s="179"/>
      <c r="C342" s="180"/>
      <c r="D342" s="180"/>
      <c r="E342" s="181"/>
      <c r="F342" s="68" t="str">
        <f>IF($N$301="","",IF($N$301="INDUSTRIAL",IF(OR($D$299="",$D$305=""),"",IF(OR(D342&gt;$D$306,E342&gt;$D$307),"Rev. Total. abona.",IF(D342="",IF(E342="","",E342/(0.92*1000)),IF(OR($D$299="SAN CRISTOBAL",$D$299="FLOREANA"),VLOOKUP(D342,'Estratos SCY - FLO'!$A$4:$M$108,IF($D$305="A1",2,IF($D$305="A",5,IF($D$305="B",8,11))))+E342/(0.92*1000),VLOOKUP(D342,'Estratos SCX - ISA'!$A$3:$M$107,IF($D$305="A1",2,IF($D$305="A",5,IF($D$305="B",8,11))))+E342/(0.92*1000))))),IF(OR($D$299="",$D$305=""),"",IF(OR(D342&gt;$D$306,E342&gt;$D$307),"Rev. Total. abona.",IF(D342="",IF(E342="","",E342/(0.92*1000)),IF(OR($D$299="SAN CRISTOBAL",$D$299="FLOREANA"),VLOOKUP(D342,'Estratos SCY - FLO'!$O$4:$S$108,IF($D$305="A1",2,IF($D$305="A",3,IF($D$305="B",4,5))))+E342/(0.92*1000),VLOOKUP(D342,'Estratos SCX - ISA'!$O$4:$S$108,IF($D$305="A1",2,IF($D$305="A",3,IF($D$305="B",4,5))))+E342/(0.92*1000)))))))</f>
        <v/>
      </c>
      <c r="G342" s="69" t="str">
        <f t="shared" si="48"/>
        <v/>
      </c>
      <c r="H342" s="184"/>
      <c r="I342" s="184"/>
      <c r="J342" s="69" t="str">
        <f>IF(OR(H342="",$D$10="",$N$10=""),"",IF($D$10="COBRE",VLOOKUP(CDV_PROY_BT!H342,FDV!$B$16:$E$24,IF(CDV_PROY_BT!$N$10="3F",3,4),FALSE),IF($D$10="ACS",VLOOKUP(CDV_PROY_BT!H342,FDV!$B$10:$E$15,IF(CDV_PROY_BT!$N$10="3F",3,4),FALSE),IF($D$10="5005 (PREENSAMBLADO)",VLOOKUP(CDV_PROY_BT!H342,FDV!$B$4:$E$9,IF(CDV_PROY_BT!$N$10="3F",3,4),FALSE),VLOOKUP(CDV_PROY_BT!H342,FDV!$B$25:$E$30,IF(CDV_PROY_BT!$N$10="3F",3,4),FALSE)))))</f>
        <v/>
      </c>
      <c r="K342" s="65" t="str">
        <f t="shared" si="45"/>
        <v/>
      </c>
      <c r="L342" s="64" t="str">
        <f t="shared" si="49"/>
        <v/>
      </c>
      <c r="M342" s="64" t="str">
        <f t="shared" si="50"/>
        <v/>
      </c>
      <c r="N342" s="157"/>
      <c r="U342" s="138">
        <f t="shared" si="46"/>
        <v>0</v>
      </c>
      <c r="V342" s="138">
        <f t="shared" si="47"/>
        <v>0</v>
      </c>
    </row>
    <row r="343" spans="1:22" ht="15.75" hidden="1" thickBot="1">
      <c r="A343" s="143"/>
      <c r="B343" s="67" t="str">
        <f>IF(N312="","",N312)</f>
        <v>P32</v>
      </c>
      <c r="C343" s="144"/>
      <c r="D343" s="144"/>
      <c r="E343" s="145"/>
      <c r="F343" s="68" t="str">
        <f>IF($N$301="","",IF($N$301="INDUSTRIAL",IF(OR($D$299="",$D$305=""),"",IF(OR(D343&gt;$D$306,E343&gt;$D$307),"Rev. Total. abona.",IF(D343="",IF(E343="","",E343/(0.92*1000)),IF(OR($D$299="SAN CRISTOBAL",$D$299="FLOREANA"),VLOOKUP(D343,'Estratos SCY - FLO'!$A$4:$M$108,IF($D$305="A1",2,IF($D$305="A",5,IF($D$305="B",8,11))))+E343/(0.92*1000),VLOOKUP(D343,'Estratos SCX - ISA'!$A$3:$M$107,IF($D$305="A1",2,IF($D$305="A",5,IF($D$305="B",8,11))))+E343/(0.92*1000))))),IF(OR($D$299="",$D$305=""),"",IF(OR(D343&gt;$D$306,E343&gt;$D$307),"Rev. Total. abona.",IF(D343="",IF(E343="","",E343/(0.92*1000)),IF(OR($D$299="SAN CRISTOBAL",$D$299="FLOREANA"),VLOOKUP(D343,'Estratos SCY - FLO'!$O$4:$S$108,IF($D$305="A1",2,IF($D$305="A",3,IF($D$305="B",4,5))))+E343/(0.92*1000),VLOOKUP(D343,'Estratos SCX - ISA'!$O$4:$S$108,IF($D$305="A1",2,IF($D$305="A",3,IF($D$305="B",4,5))))+E343/(0.92*1000)))))))</f>
        <v/>
      </c>
      <c r="G343" s="69" t="str">
        <f t="shared" si="48"/>
        <v/>
      </c>
      <c r="H343" s="146" t="e">
        <f>IF(B343="","",IF(B343-A343=1,H342,""))</f>
        <v>#VALUE!</v>
      </c>
      <c r="I343" s="146"/>
      <c r="J343" s="70" t="e">
        <f>IF(OR(H343="",$D$10="",$N$10=""),"",IF($D$10="COBRE",VLOOKUP(CDV_PROY_BT!H343,FDV!$B$16:$E$24,IF(CDV_PROY_BT!$N$10="3F",3,4),FALSE),IF($D$10="ACS",VLOOKUP(CDV_PROY_BT!H343,FDV!$B$10:$E$15,IF(CDV_PROY_BT!$N$10="3F",3,4),FALSE),IF($D$10="5005 (PREENSAMBLADO)",VLOOKUP(CDV_PROY_BT!H343,FDV!$B$4:$E$9,IF(CDV_PROY_BT!$N$10="3F",3,4),FALSE),VLOOKUP(CDV_PROY_BT!H343,FDV!$B$25:$E$30,IF(CDV_PROY_BT!$N$10="3F",3,4),FALSE)))))</f>
        <v>#VALUE!</v>
      </c>
      <c r="K343" s="71" t="str">
        <f t="shared" si="45"/>
        <v/>
      </c>
      <c r="L343" s="68" t="str">
        <f aca="true" t="shared" si="51" ref="L343">IF(C343="","",ROUND(K343/J343,2))</f>
        <v/>
      </c>
      <c r="M343" s="72">
        <v>0</v>
      </c>
      <c r="N343" s="66"/>
      <c r="U343" s="138">
        <f>+IF(D343&gt;0,C343,0)</f>
        <v>0</v>
      </c>
      <c r="V343" s="138">
        <f>IF(C343="",0,C343*G343)</f>
        <v>0</v>
      </c>
    </row>
    <row r="344" spans="1:22" ht="15.75" hidden="1" thickBot="1">
      <c r="A344" s="73" t="s">
        <v>113</v>
      </c>
      <c r="B344" s="74"/>
      <c r="C344" s="75"/>
      <c r="D344" s="75"/>
      <c r="E344" s="76"/>
      <c r="F344" s="77"/>
      <c r="G344" s="78"/>
      <c r="H344" s="79"/>
      <c r="I344" s="79"/>
      <c r="J344" s="78"/>
      <c r="K344" s="121"/>
      <c r="L344" s="121"/>
      <c r="M344" s="128"/>
      <c r="N344" s="240"/>
      <c r="U344" s="138">
        <f>+IF(D344&gt;0,C344,0)</f>
        <v>0</v>
      </c>
      <c r="V344" s="138">
        <f>IF(C344="",0,C344*G344)</f>
        <v>0</v>
      </c>
    </row>
    <row r="345" spans="1:14" ht="15.75" hidden="1" thickBot="1">
      <c r="A345" s="93" t="s">
        <v>96</v>
      </c>
      <c r="B345" s="94">
        <f>+ROUND(SUMIF(H316:H342,"4/0",V316:V344)*1.015,0)</f>
        <v>0</v>
      </c>
      <c r="C345" s="93" t="s">
        <v>97</v>
      </c>
      <c r="D345" s="94">
        <f>ROUND((SUMIF(H316:H342,"3/0",V316:V344))*1.015,0)</f>
        <v>0</v>
      </c>
      <c r="E345" s="82" t="s">
        <v>95</v>
      </c>
      <c r="F345" s="81">
        <f>ROUND((SUMIF(H316:H342,"2/0",V316:V344))*1.015,0)</f>
        <v>0</v>
      </c>
      <c r="G345" s="80" t="s">
        <v>57</v>
      </c>
      <c r="H345" s="81">
        <f>ROUND((SUMIF(H316:H342,"1/0",V316:V344))*1.015,0)</f>
        <v>93</v>
      </c>
      <c r="I345" s="93" t="s">
        <v>58</v>
      </c>
      <c r="J345" s="94">
        <f>ROUND((SUMIF(H316:H342,"2",V316:V344))*1.015,0)</f>
        <v>0</v>
      </c>
      <c r="K345" s="147"/>
      <c r="L345" s="91"/>
      <c r="M345" s="92"/>
      <c r="N345" s="241"/>
    </row>
    <row r="346" spans="1:14" ht="15.75" hidden="1" thickBot="1">
      <c r="A346" s="119" t="s">
        <v>107</v>
      </c>
      <c r="B346" s="92"/>
      <c r="C346" s="91"/>
      <c r="D346" s="92"/>
      <c r="E346" s="91"/>
      <c r="F346" s="92"/>
      <c r="G346" s="91"/>
      <c r="H346" s="92"/>
      <c r="I346" s="92"/>
      <c r="J346" s="91"/>
      <c r="K346" s="92"/>
      <c r="L346" s="91"/>
      <c r="M346" s="92"/>
      <c r="N346" s="241"/>
    </row>
    <row r="347" spans="1:14" ht="15.75" hidden="1" thickBot="1">
      <c r="A347" s="93" t="s">
        <v>96</v>
      </c>
      <c r="B347" s="94">
        <f>+ROUND(SUMIF(I316:I342,"4/0",U316:U344)*1.015,0)</f>
        <v>0</v>
      </c>
      <c r="C347" s="93" t="s">
        <v>97</v>
      </c>
      <c r="D347" s="94">
        <f>ROUND((SUMIF(I316:I342,"3/0",U316:U344))*1.015,0)</f>
        <v>0</v>
      </c>
      <c r="E347" s="93" t="s">
        <v>95</v>
      </c>
      <c r="F347" s="94">
        <f>ROUND((SUMIF(I316:I342,"2/0",U316:U344))*1.015,0)</f>
        <v>0</v>
      </c>
      <c r="G347" s="93" t="s">
        <v>57</v>
      </c>
      <c r="H347" s="94">
        <f>ROUND((SUMIF(I316:I342,"1/0",U316:U344))*1.015,0)</f>
        <v>93</v>
      </c>
      <c r="I347" s="93" t="s">
        <v>58</v>
      </c>
      <c r="J347" s="94">
        <f>ROUND((SUMIF(I316:I342,"2",U316:U344))*1.015,0)</f>
        <v>0</v>
      </c>
      <c r="L347" s="91"/>
      <c r="M347" s="92"/>
      <c r="N347" s="241"/>
    </row>
    <row r="348" spans="1:14" ht="15.75" hidden="1" thickBot="1">
      <c r="A348" s="244" t="s">
        <v>123</v>
      </c>
      <c r="B348" s="244"/>
      <c r="C348" s="244"/>
      <c r="D348" s="21">
        <f>IF(N303="","",SUM(C316:C342))</f>
        <v>92</v>
      </c>
      <c r="E348" s="28" t="s">
        <v>59</v>
      </c>
      <c r="G348" s="21"/>
      <c r="H348" s="21"/>
      <c r="I348" s="21"/>
      <c r="J348" s="21"/>
      <c r="K348" s="21"/>
      <c r="L348" s="21"/>
      <c r="M348" s="23"/>
      <c r="N348" s="83" t="s">
        <v>80</v>
      </c>
    </row>
    <row r="349" spans="1:14" ht="15" hidden="1">
      <c r="A349" s="36" t="s">
        <v>60</v>
      </c>
      <c r="B349" s="238"/>
      <c r="C349" s="238"/>
      <c r="D349" s="238"/>
      <c r="E349" s="238"/>
      <c r="F349" s="238"/>
      <c r="G349" s="238"/>
      <c r="H349" s="238"/>
      <c r="I349" s="238"/>
      <c r="J349" s="238"/>
      <c r="K349" s="238"/>
      <c r="L349" s="238"/>
      <c r="M349" s="239"/>
      <c r="N349" s="84" t="s">
        <v>61</v>
      </c>
    </row>
    <row r="350" spans="1:14" ht="15.75" hidden="1" thickBot="1">
      <c r="A350" s="148"/>
      <c r="B350" s="242"/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3"/>
      <c r="N350" s="85">
        <f>MAX(N316:N342)</f>
        <v>2.03</v>
      </c>
    </row>
    <row r="351" ht="15.75" hidden="1" thickBot="1"/>
    <row r="352" spans="1:14" ht="15.75" hidden="1" thickBot="1">
      <c r="A352" s="18"/>
      <c r="B352" s="18"/>
      <c r="C352" s="19"/>
      <c r="D352" s="19"/>
      <c r="E352" s="19"/>
      <c r="F352" s="20"/>
      <c r="G352" s="18"/>
      <c r="H352" s="18"/>
      <c r="I352" s="18"/>
      <c r="J352" s="19"/>
      <c r="K352" s="18"/>
      <c r="L352" s="18"/>
      <c r="M352" s="131" t="s">
        <v>122</v>
      </c>
      <c r="N352" s="161" t="s">
        <v>211</v>
      </c>
    </row>
    <row r="353" spans="1:14" ht="18" hidden="1">
      <c r="A353" s="245" t="s">
        <v>62</v>
      </c>
      <c r="B353" s="245"/>
      <c r="C353" s="245"/>
      <c r="D353" s="245"/>
      <c r="E353" s="245"/>
      <c r="F353" s="245"/>
      <c r="G353" s="245"/>
      <c r="H353" s="245"/>
      <c r="I353" s="245"/>
      <c r="J353" s="245"/>
      <c r="K353" s="245"/>
      <c r="L353" s="245"/>
      <c r="M353" s="245"/>
      <c r="N353" s="245"/>
    </row>
    <row r="354" spans="1:14" ht="18" hidden="1">
      <c r="A354" s="192"/>
      <c r="B354" s="192"/>
      <c r="C354" s="192"/>
      <c r="D354" s="192"/>
      <c r="E354" s="192"/>
      <c r="F354" s="22" t="s">
        <v>111</v>
      </c>
      <c r="G354" s="192"/>
      <c r="H354" s="192"/>
      <c r="I354" s="192"/>
      <c r="J354" s="192"/>
      <c r="K354" s="192"/>
      <c r="L354" s="192"/>
      <c r="M354" s="192"/>
      <c r="N354" s="87"/>
    </row>
    <row r="355" spans="1:31" ht="15.75" hidden="1">
      <c r="A355" s="246" t="s">
        <v>112</v>
      </c>
      <c r="B355" s="246"/>
      <c r="C355" s="246"/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U355" s="138" t="s">
        <v>63</v>
      </c>
      <c r="W355" s="138" t="s">
        <v>24</v>
      </c>
      <c r="Y355" s="138" t="s">
        <v>69</v>
      </c>
      <c r="AA355" s="138" t="s">
        <v>72</v>
      </c>
      <c r="AB355" s="138" t="s">
        <v>77</v>
      </c>
      <c r="AC355" s="138" t="s">
        <v>79</v>
      </c>
      <c r="AD355" s="138" t="s">
        <v>170</v>
      </c>
      <c r="AE355" s="138" t="s">
        <v>176</v>
      </c>
    </row>
    <row r="356" spans="1:31" ht="16.5" hidden="1" thickBot="1">
      <c r="A356" s="24"/>
      <c r="B356" s="18"/>
      <c r="C356" s="19"/>
      <c r="D356" s="19"/>
      <c r="E356" s="19"/>
      <c r="F356" s="20"/>
      <c r="G356" s="20"/>
      <c r="H356" s="18"/>
      <c r="I356" s="18"/>
      <c r="J356" s="18"/>
      <c r="K356" s="19"/>
      <c r="L356" s="18"/>
      <c r="M356" s="18"/>
      <c r="N356" s="23"/>
      <c r="U356" s="138" t="s">
        <v>64</v>
      </c>
      <c r="W356" s="138" t="s">
        <v>82</v>
      </c>
      <c r="Y356" s="138" t="s">
        <v>70</v>
      </c>
      <c r="AA356" s="138" t="s">
        <v>73</v>
      </c>
      <c r="AB356" s="138" t="s">
        <v>29</v>
      </c>
      <c r="AC356" s="139">
        <v>2</v>
      </c>
      <c r="AD356" s="138" t="s">
        <v>171</v>
      </c>
      <c r="AE356" s="138">
        <v>0.65</v>
      </c>
    </row>
    <row r="357" spans="1:31" ht="15.75" hidden="1" thickBot="1">
      <c r="A357" s="25" t="s">
        <v>23</v>
      </c>
      <c r="B357" s="26"/>
      <c r="C357" s="88"/>
      <c r="D357" s="258" t="s">
        <v>64</v>
      </c>
      <c r="E357" s="258"/>
      <c r="F357" s="266" t="s">
        <v>92</v>
      </c>
      <c r="G357" s="267"/>
      <c r="H357" s="263" t="str">
        <f>+H299</f>
        <v>Puerto Villamil</v>
      </c>
      <c r="I357" s="264"/>
      <c r="J357" s="265"/>
      <c r="K357" s="268" t="s">
        <v>81</v>
      </c>
      <c r="L357" s="269"/>
      <c r="M357" s="261" t="str">
        <f>+M299</f>
        <v>Pedregal V</v>
      </c>
      <c r="N357" s="262"/>
      <c r="U357" s="138" t="s">
        <v>65</v>
      </c>
      <c r="W357" s="138" t="s">
        <v>83</v>
      </c>
      <c r="Y357" s="138" t="s">
        <v>7</v>
      </c>
      <c r="AA357" s="138" t="s">
        <v>76</v>
      </c>
      <c r="AB357" s="138" t="s">
        <v>78</v>
      </c>
      <c r="AC357" s="139" t="s">
        <v>0</v>
      </c>
      <c r="AD357" s="138" t="s">
        <v>172</v>
      </c>
      <c r="AE357" s="138">
        <v>0.7</v>
      </c>
    </row>
    <row r="358" spans="1:31" ht="15.75" hidden="1" thickBot="1">
      <c r="A358" s="21"/>
      <c r="B358" s="21"/>
      <c r="C358" s="21"/>
      <c r="D358" s="21"/>
      <c r="E358" s="21"/>
      <c r="F358" s="28"/>
      <c r="G358" s="28"/>
      <c r="H358" s="21"/>
      <c r="I358" s="21"/>
      <c r="J358" s="21"/>
      <c r="K358" s="21"/>
      <c r="L358" s="21"/>
      <c r="M358" s="21"/>
      <c r="N358" s="23"/>
      <c r="U358" s="138" t="s">
        <v>66</v>
      </c>
      <c r="W358" s="138" t="s">
        <v>68</v>
      </c>
      <c r="Y358" s="138" t="s">
        <v>27</v>
      </c>
      <c r="AA358" s="138" t="s">
        <v>74</v>
      </c>
      <c r="AC358" s="139" t="s">
        <v>1</v>
      </c>
      <c r="AD358" s="138" t="s">
        <v>173</v>
      </c>
      <c r="AE358" s="138">
        <v>0.8</v>
      </c>
    </row>
    <row r="359" spans="1:31" ht="15.75" hidden="1" thickBot="1">
      <c r="A359" s="25" t="s">
        <v>24</v>
      </c>
      <c r="B359" s="26"/>
      <c r="C359" s="26"/>
      <c r="D359" s="259" t="s">
        <v>68</v>
      </c>
      <c r="E359" s="258"/>
      <c r="F359" s="260"/>
      <c r="G359" s="26"/>
      <c r="H359" s="29"/>
      <c r="I359" s="29"/>
      <c r="J359" s="26"/>
      <c r="K359" s="26"/>
      <c r="L359" s="26" t="s">
        <v>174</v>
      </c>
      <c r="M359" s="26"/>
      <c r="N359" s="211" t="s">
        <v>173</v>
      </c>
      <c r="U359" s="138" t="s">
        <v>67</v>
      </c>
      <c r="Y359" s="138" t="s">
        <v>9</v>
      </c>
      <c r="AA359" s="138" t="s">
        <v>75</v>
      </c>
      <c r="AC359" s="139" t="s">
        <v>2</v>
      </c>
      <c r="AE359" s="138">
        <v>0.9</v>
      </c>
    </row>
    <row r="360" spans="1:31" ht="15.75" hidden="1" thickBot="1">
      <c r="A360" s="23" t="s">
        <v>25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 t="s">
        <v>178</v>
      </c>
      <c r="L360" s="208"/>
      <c r="M360" s="23"/>
      <c r="N360" s="43" t="str">
        <f>IF(N361="","",IF(N361="3F","220 / 127 V","240 / 120 V"))</f>
        <v>220 / 127 V</v>
      </c>
      <c r="AC360" s="141" t="s">
        <v>3</v>
      </c>
      <c r="AE360" s="138">
        <v>1</v>
      </c>
    </row>
    <row r="361" spans="1:24" ht="15.75" hidden="1" thickBot="1">
      <c r="A361" s="30" t="s">
        <v>26</v>
      </c>
      <c r="B361" s="18"/>
      <c r="C361" s="23"/>
      <c r="D361" s="253" t="s">
        <v>70</v>
      </c>
      <c r="E361" s="254"/>
      <c r="F361" s="18"/>
      <c r="G361" s="18"/>
      <c r="H361" s="18"/>
      <c r="I361" s="18"/>
      <c r="J361" s="18"/>
      <c r="K361" s="23"/>
      <c r="L361" s="18" t="s">
        <v>179</v>
      </c>
      <c r="M361" s="18"/>
      <c r="N361" s="151" t="s">
        <v>78</v>
      </c>
      <c r="U361" s="138" t="s">
        <v>64</v>
      </c>
      <c r="W361" s="138" t="s">
        <v>29</v>
      </c>
      <c r="X361" s="138" t="s">
        <v>78</v>
      </c>
    </row>
    <row r="362" spans="1:24" ht="15.75" hidden="1" thickBot="1">
      <c r="A362" s="23"/>
      <c r="B362" s="31"/>
      <c r="C362" s="23"/>
      <c r="D362" s="19"/>
      <c r="E362" s="32"/>
      <c r="F362" s="32"/>
      <c r="G362" s="20"/>
      <c r="H362" s="20"/>
      <c r="I362" s="20"/>
      <c r="J362" s="33"/>
      <c r="K362" s="21" t="s">
        <v>175</v>
      </c>
      <c r="L362" s="35"/>
      <c r="M362" s="18"/>
      <c r="N362" s="209">
        <v>0.65</v>
      </c>
      <c r="U362" s="138" t="s">
        <v>84</v>
      </c>
      <c r="W362" s="138">
        <v>10</v>
      </c>
      <c r="X362" s="138">
        <v>30</v>
      </c>
    </row>
    <row r="363" spans="1:24" ht="15.75" hidden="1" thickBot="1">
      <c r="A363" s="36" t="s">
        <v>71</v>
      </c>
      <c r="B363" s="37"/>
      <c r="C363" s="37"/>
      <c r="D363" s="150" t="s">
        <v>73</v>
      </c>
      <c r="E363" s="38"/>
      <c r="F363" s="39"/>
      <c r="G363" s="39"/>
      <c r="H363" s="39"/>
      <c r="I363" s="39"/>
      <c r="J363" s="37"/>
      <c r="K363" s="36"/>
      <c r="L363" s="37"/>
      <c r="M363" s="89" t="s">
        <v>30</v>
      </c>
      <c r="N363" s="190" t="s">
        <v>153</v>
      </c>
      <c r="U363" s="138" t="s">
        <v>85</v>
      </c>
      <c r="W363" s="138">
        <v>15</v>
      </c>
      <c r="X363" s="138">
        <v>50</v>
      </c>
    </row>
    <row r="364" spans="1:24" ht="15.75" hidden="1" thickBot="1">
      <c r="A364" s="41" t="s">
        <v>31</v>
      </c>
      <c r="B364" s="21"/>
      <c r="C364" s="21"/>
      <c r="D364" s="150">
        <v>18</v>
      </c>
      <c r="E364" s="21"/>
      <c r="F364" s="28"/>
      <c r="G364" s="42" t="s">
        <v>32</v>
      </c>
      <c r="H364" s="274" t="str">
        <f>+H306</f>
        <v>J.P</v>
      </c>
      <c r="I364" s="275"/>
      <c r="J364" s="275"/>
      <c r="K364" s="41"/>
      <c r="L364" s="21"/>
      <c r="M364" s="115" t="s">
        <v>93</v>
      </c>
      <c r="N364" s="210">
        <f>+N365/N362</f>
        <v>113.5188169797801</v>
      </c>
      <c r="U364" s="138" t="s">
        <v>86</v>
      </c>
      <c r="W364" s="138">
        <v>25</v>
      </c>
      <c r="X364" s="138">
        <v>75</v>
      </c>
    </row>
    <row r="365" spans="1:24" ht="15.75" hidden="1" thickBot="1">
      <c r="A365" s="41" t="s">
        <v>34</v>
      </c>
      <c r="B365" s="21"/>
      <c r="C365" s="21"/>
      <c r="D365" s="162">
        <v>770</v>
      </c>
      <c r="E365" s="41"/>
      <c r="F365" s="28"/>
      <c r="G365" s="42" t="s">
        <v>35</v>
      </c>
      <c r="H365" s="249">
        <f>+H307</f>
        <v>43511</v>
      </c>
      <c r="I365" s="250"/>
      <c r="J365" s="250"/>
      <c r="K365" s="41"/>
      <c r="L365" s="21"/>
      <c r="M365" s="115" t="s">
        <v>177</v>
      </c>
      <c r="N365" s="116">
        <f>IF($N$359="","",IF($N$359="INDUSTRIAL",IF(OR(D357="",D363="",D364=""),"",(IF(OR(D357="SAN CRISTOBAL",D357="FLOREANA"),VLOOKUP(D364,'Estratos SCY - FLO'!$A$4:$M$108,IF(D363="A1",2,IF(D363="A",5,IF(D363="B",8,11))),0),VLOOKUP(D364,'Estratos SCX - ISA'!$A$4:$M$108,IF(D363="A1",2,IF(D363="A",5,IF(D363="B",8,11))),0))+D365/920)*N362),IF(OR(D357="",D363="",D364=""),"",(IF(OR(D357="SAN CRISTOBAL",D357="FLOREANA"),VLOOKUP(D364,'Estratos SCY - FLO'!$O$4:$S$108,IF(D363="A1",2,IF(D363="A",3,IF(D363="B",4,5))),0),VLOOKUP(D364,'Estratos SCX - ISA'!$O$4:$S$108,IF(D363="A1",2,IF(D363="A",3,IF(D363="B",4,5))),0))+D365/920)*N362)))</f>
        <v>73.78723103685707</v>
      </c>
      <c r="U365" s="138" t="s">
        <v>87</v>
      </c>
      <c r="W365" s="138">
        <v>37.5</v>
      </c>
      <c r="X365" s="138">
        <v>100</v>
      </c>
    </row>
    <row r="366" spans="1:24" ht="41.25" customHeight="1" hidden="1" thickBot="1">
      <c r="A366" s="270" t="str">
        <f>+IF(OR(N359="INDUSTRIAL"),"NOTA: Estratos:  A1 (Consumo-Alto); A (Consumo-Medio); B(Consumo-Bajo); C(Consumo-Mínimo)",IF(N359="","","NOTA: Estratos:  A1 (Casco Urbano-Sector hotelero);A (Barrios Centricos); B(Zona Periferica); C(Zona Rural)"))</f>
        <v>NOTA: Estratos:  A1 (Consumo-Alto); A (Consumo-Medio); B(Consumo-Bajo); C(Consumo-Mínimo)</v>
      </c>
      <c r="B366" s="271"/>
      <c r="C366" s="271"/>
      <c r="D366" s="271"/>
      <c r="E366" s="271"/>
      <c r="F366" s="271"/>
      <c r="G366" s="271"/>
      <c r="H366" s="271"/>
      <c r="I366" s="271"/>
      <c r="J366" s="271"/>
      <c r="K366" s="44"/>
      <c r="L366" s="34"/>
      <c r="M366" s="130" t="str">
        <f>+IF(OR(N361="",D363="",D364=""),"","POT. NOMINAL TRAFO. (KVA):")</f>
        <v>POT. NOMINAL TRAFO. (KVA):</v>
      </c>
      <c r="N366" s="117">
        <f>IF(OR(N361="",N362="",N362=0),"",IF(N361="1F",IF(N365&lt;$W$11,$W$11,IF(AND(N365&gt;$W$11,N365&lt;$W$12),$W$12,IF(AND(N365&gt;$W$12,N365&lt;$W$13),$W$13,IF(AND(N365&gt;$W$13,N365&lt;$W$14),$W$14,IF(AND(N365&gt;$W$14,N365&lt;$W$15),$W$15,IF(AND(N365&gt;$W$15,N365&lt;$W$16),$W$16,IF(AND(N365&gt;$W$16,N365&lt;$W$17),$W$17,IF(AND(N365&gt;$W$17,N365&lt;$W$18),$W$18,IF(AND(N365&gt;$W$18,N365&lt;$W$19),$W$19,""))))))))),IF($N$365&lt;$X$11,$X$11,IF(AND(N365&gt;$X$11,N365&lt;$X$12),$X$12,IF(AND(N365&gt;$X$12,N365&lt;$X$13),$X$13,IF(AND(N365&gt;$X$13,N365&lt;$X$14),$X$14,IF(AND(N365&gt;$X$14,N365&lt;$X$15),$X$15,IF(AND(N365&gt;$X$15,N365&lt;$X$16),$X$16,IF(AND(N365&gt;$X$16,N365&lt;$X$17),$X$17,"")))))))))</f>
        <v>75</v>
      </c>
      <c r="U366" s="138" t="s">
        <v>88</v>
      </c>
      <c r="W366" s="138">
        <v>50</v>
      </c>
      <c r="X366" s="138">
        <v>125</v>
      </c>
    </row>
    <row r="367" spans="1:24" ht="15.75" hidden="1" thickBot="1">
      <c r="A367" s="21"/>
      <c r="B367" s="21"/>
      <c r="C367" s="21"/>
      <c r="D367" s="21"/>
      <c r="E367" s="21"/>
      <c r="F367" s="28"/>
      <c r="G367" s="28"/>
      <c r="H367" s="21"/>
      <c r="I367" s="21"/>
      <c r="J367" s="21"/>
      <c r="K367" s="21"/>
      <c r="L367" s="21"/>
      <c r="M367" s="21"/>
      <c r="N367" s="23"/>
      <c r="U367" s="138" t="s">
        <v>89</v>
      </c>
      <c r="W367" s="138">
        <v>75</v>
      </c>
      <c r="X367" s="138">
        <v>150</v>
      </c>
    </row>
    <row r="368" spans="1:24" ht="19.5" hidden="1" thickBot="1">
      <c r="A368" s="46" t="s">
        <v>36</v>
      </c>
      <c r="B368" s="47"/>
      <c r="C368" s="47"/>
      <c r="D368" s="48" t="s">
        <v>37</v>
      </c>
      <c r="E368" s="49"/>
      <c r="F368" s="50"/>
      <c r="G368" s="50"/>
      <c r="H368" s="37"/>
      <c r="I368" s="37"/>
      <c r="J368" s="37"/>
      <c r="K368" s="37"/>
      <c r="L368" s="37"/>
      <c r="M368" s="37"/>
      <c r="N368" s="40"/>
      <c r="U368" s="138" t="s">
        <v>90</v>
      </c>
      <c r="W368" s="138">
        <v>100</v>
      </c>
      <c r="X368" s="138">
        <v>200</v>
      </c>
    </row>
    <row r="369" spans="1:23" ht="15.75" hidden="1" thickBot="1">
      <c r="A369" s="41"/>
      <c r="B369" s="21"/>
      <c r="C369" s="21"/>
      <c r="D369" s="21"/>
      <c r="E369" s="21"/>
      <c r="F369" s="28"/>
      <c r="G369" s="28"/>
      <c r="H369" s="21"/>
      <c r="I369" s="21"/>
      <c r="J369" s="21"/>
      <c r="K369" s="21"/>
      <c r="L369" s="21" t="s">
        <v>196</v>
      </c>
      <c r="M369" s="21"/>
      <c r="N369" s="163"/>
      <c r="U369" s="138" t="s">
        <v>91</v>
      </c>
      <c r="W369" s="138">
        <v>112.5</v>
      </c>
    </row>
    <row r="370" spans="1:23" ht="15.75" hidden="1" thickBot="1">
      <c r="A370" s="44"/>
      <c r="B370" s="34"/>
      <c r="C370" s="34"/>
      <c r="D370" s="34"/>
      <c r="E370" s="34"/>
      <c r="F370" s="45"/>
      <c r="G370" s="45"/>
      <c r="H370" s="34"/>
      <c r="I370" s="34"/>
      <c r="J370" s="34"/>
      <c r="K370" s="34"/>
      <c r="L370" s="113" t="s">
        <v>102</v>
      </c>
      <c r="M370" s="142"/>
      <c r="N370" s="163" t="s">
        <v>157</v>
      </c>
      <c r="W370" s="138">
        <v>125</v>
      </c>
    </row>
    <row r="371" spans="1:14" ht="15.75" hidden="1" thickBot="1">
      <c r="A371" s="21"/>
      <c r="B371" s="21"/>
      <c r="C371" s="21"/>
      <c r="D371" s="21"/>
      <c r="E371" s="21"/>
      <c r="F371" s="28"/>
      <c r="G371" s="28"/>
      <c r="H371" s="21"/>
      <c r="I371" s="21"/>
      <c r="J371" s="21"/>
      <c r="K371" s="21"/>
      <c r="L371" s="21"/>
      <c r="M371" s="21"/>
      <c r="N371" s="23"/>
    </row>
    <row r="372" spans="1:22" ht="15.75" hidden="1" thickBot="1">
      <c r="A372" s="257" t="s">
        <v>38</v>
      </c>
      <c r="B372" s="252"/>
      <c r="C372" s="52" t="s">
        <v>39</v>
      </c>
      <c r="D372" s="52" t="s">
        <v>40</v>
      </c>
      <c r="E372" s="53" t="s">
        <v>41</v>
      </c>
      <c r="F372" s="53" t="s">
        <v>42</v>
      </c>
      <c r="G372" s="257" t="s">
        <v>43</v>
      </c>
      <c r="H372" s="251"/>
      <c r="I372" s="251"/>
      <c r="J372" s="252"/>
      <c r="K372" s="255" t="s">
        <v>44</v>
      </c>
      <c r="L372" s="251" t="s">
        <v>45</v>
      </c>
      <c r="M372" s="251"/>
      <c r="N372" s="252"/>
      <c r="U372" s="237" t="s">
        <v>98</v>
      </c>
      <c r="V372" s="237" t="s">
        <v>99</v>
      </c>
    </row>
    <row r="373" spans="1:22" ht="15.75" hidden="1" thickBot="1">
      <c r="A373" s="52" t="s">
        <v>46</v>
      </c>
      <c r="B373" s="52" t="s">
        <v>47</v>
      </c>
      <c r="C373" s="54" t="s">
        <v>48</v>
      </c>
      <c r="D373" s="54" t="s">
        <v>49</v>
      </c>
      <c r="E373" s="55" t="s">
        <v>50</v>
      </c>
      <c r="F373" s="55" t="s">
        <v>51</v>
      </c>
      <c r="G373" s="56" t="s">
        <v>52</v>
      </c>
      <c r="H373" s="43" t="s">
        <v>105</v>
      </c>
      <c r="I373" s="124" t="s">
        <v>106</v>
      </c>
      <c r="J373" s="43" t="s">
        <v>53</v>
      </c>
      <c r="K373" s="256"/>
      <c r="L373" s="53" t="s">
        <v>54</v>
      </c>
      <c r="M373" s="43" t="s">
        <v>55</v>
      </c>
      <c r="N373" s="57" t="s">
        <v>56</v>
      </c>
      <c r="U373" s="237"/>
      <c r="V373" s="237"/>
    </row>
    <row r="374" spans="1:22" ht="15" hidden="1">
      <c r="A374" s="191" t="str">
        <f>IF(N370="","",N370)</f>
        <v>P26</v>
      </c>
      <c r="B374" s="164" t="s">
        <v>164</v>
      </c>
      <c r="C374" s="165">
        <v>23</v>
      </c>
      <c r="D374" s="165"/>
      <c r="E374" s="166">
        <v>220</v>
      </c>
      <c r="F374" s="193">
        <f>IF($N$359="","",IF($N$359="INDUSTRIAL",IF(OR($D$357="",$D$363=""),"",IF(OR(D374&gt;$D$364,E374&gt;$D$365),"Rev. Total. abona.",IF(D374="",IF(E374="","",E374/(0.92*1000)),IF(OR($D$357="SAN CRISTOBAL",$D$357="FLOREANA"),VLOOKUP(D374,'Estratos SCY - FLO'!$A$4:$M$108,IF($D$363="A1",2,IF($D$363="A",5,IF($D$363="B",8,11))))+E374/(0.92*1000),VLOOKUP(D374,'Estratos SCX - ISA'!$A$3:$M$107,IF($D$363="A1",2,IF($D$363="A",5,IF($D$363="B",8,11))))+E374/(0.92*1000))))),IF(OR($D$357="",$D$363=""),"",IF(OR(D374&gt;$D$364,E374&gt;$D$365),"Rev. Total. abona.",IF(D374="",IF(E374="","",E374/(0.92*1000)),IF(OR($D$357="SAN CRISTOBAL",$D$357="FLOREANA"),VLOOKUP(D374,'Estratos SCY - FLO'!$O$4:$S$108,IF($D$363="A1",2,IF($D$363="A",3,IF($D$363="B",4,5))))+E374/(0.92*1000),VLOOKUP(D374,'Estratos SCX - ISA'!$O$4:$S$108,IF($D$363="A1",2,IF($D$363="A",3,IF($D$363="B",4,5))))+E374/(0.92*1000)))))))</f>
        <v>0.2391304347826087</v>
      </c>
      <c r="G374" s="95">
        <f>IF(OR($N$10="",C374=""),"",IF($N$10="1F",1,3))</f>
        <v>1</v>
      </c>
      <c r="H374" s="182">
        <v>2</v>
      </c>
      <c r="I374" s="182">
        <v>2</v>
      </c>
      <c r="J374" s="95">
        <f>IF(OR(H374="",$D$10="",$N$10=""),"",IF($D$10="COBRE",VLOOKUP(CDV_PROY_BT!H374,FDV!$B$16:$E$24,IF(CDV_PROY_BT!$N$10="3F",3,4),FALSE),IF($D$10="ACS",VLOOKUP(CDV_PROY_BT!H374,FDV!$B$10:$E$15,IF(CDV_PROY_BT!$N$10="3F",3,4),FALSE),IF($D$10="5005 (PREENSAMBLADO)",VLOOKUP(CDV_PROY_BT!H374,FDV!$B$4:$E$9,IF(CDV_PROY_BT!$N$10="3F",3,4),FALSE),VLOOKUP(CDV_PROY_BT!H374,FDV!$B$25:$E$30,IF(CDV_PROY_BT!$N$10="3F",3,4),FALSE)))))</f>
        <v>279</v>
      </c>
      <c r="K374" s="60">
        <f aca="true" t="shared" si="52" ref="K374:K401">IF(C374="","",ROUND(F374*C374,0))</f>
        <v>6</v>
      </c>
      <c r="L374" s="61">
        <f>IF($N$19="","",IF(C374="","",ROUND(K374/J374,2)))</f>
        <v>0.02</v>
      </c>
      <c r="M374" s="61">
        <f>IF(C374="","",VLOOKUP(A374,$B$374:$N$401,12,FALSE)+L374+N369)</f>
        <v>0.02</v>
      </c>
      <c r="N374" s="154">
        <f>+M374</f>
        <v>0.02</v>
      </c>
      <c r="U374" s="138">
        <f>+IF(C374="",0,C374)</f>
        <v>23</v>
      </c>
      <c r="V374" s="138">
        <f>IF(OR(C374="",G374=""),0,C374*G374)</f>
        <v>23</v>
      </c>
    </row>
    <row r="375" spans="1:22" ht="15" hidden="1">
      <c r="A375" s="167" t="s">
        <v>157</v>
      </c>
      <c r="B375" s="168" t="s">
        <v>154</v>
      </c>
      <c r="C375" s="169">
        <v>29</v>
      </c>
      <c r="D375" s="169">
        <v>6</v>
      </c>
      <c r="E375" s="170">
        <v>220</v>
      </c>
      <c r="F375" s="62">
        <f>IF($N$359="","",IF($N$359="INDUSTRIAL",IF(OR($D$357="",$D$363=""),"",IF(OR(D375&gt;$D$364,E375&gt;$D$365),"Rev. Total. abona.",IF(D375="",IF(E375="","",E375/(0.92*1000)),IF(OR($D$357="SAN CRISTOBAL",$D$357="FLOREANA"),VLOOKUP(D375,'Estratos SCY - FLO'!$A$4:$M$108,IF($D$363="A1",2,IF($D$363="A",5,IF($D$363="B",8,11))))+E375/(0.92*1000),VLOOKUP(D375,'Estratos SCX - ISA'!$A$3:$M$107,IF($D$363="A1",2,IF($D$363="A",5,IF($D$363="B",8,11))))+E375/(0.92*1000))))),IF(OR($D$357="",$D$363=""),"",IF(OR(D375&gt;$D$364,E375&gt;$D$365),"Rev. Total. abona.",IF(D375="",IF(E375="","",E375/(0.92*1000)),IF(OR($D$357="SAN CRISTOBAL",$D$357="FLOREANA"),VLOOKUP(D375,'Estratos SCY - FLO'!$O$4:$S$108,IF($D$363="A1",2,IF($D$363="A",3,IF($D$363="B",4,5))))+E375/(0.92*1000),VLOOKUP(D375,'Estratos SCX - ISA'!$O$4:$S$108,IF($D$363="A1",2,IF($D$363="A",3,IF($D$363="B",4,5))))+E375/(0.92*1000)))))))</f>
        <v>41.7033663773777</v>
      </c>
      <c r="G375" s="59">
        <f aca="true" t="shared" si="53" ref="G375:G401">IF(OR($N$10="",C375=""),"",IF($N$10="1F",1,3))</f>
        <v>1</v>
      </c>
      <c r="H375" s="183" t="s">
        <v>0</v>
      </c>
      <c r="I375" s="183" t="s">
        <v>0</v>
      </c>
      <c r="J375" s="59">
        <f>IF(OR(H375="",$D$10="",$N$10=""),"",IF($D$10="COBRE",VLOOKUP(CDV_PROY_BT!H375,FDV!$B$16:$E$24,IF(CDV_PROY_BT!$N$10="3F",3,4),FALSE),IF($D$10="ACS",VLOOKUP(CDV_PROY_BT!H375,FDV!$B$10:$E$15,IF(CDV_PROY_BT!$N$10="3F",3,4),FALSE),IF($D$10="5005 (PREENSAMBLADO)",VLOOKUP(CDV_PROY_BT!H375,FDV!$B$4:$E$9,IF(CDV_PROY_BT!$N$10="3F",3,4),FALSE),VLOOKUP(CDV_PROY_BT!H375,FDV!$B$25:$E$30,IF(CDV_PROY_BT!$N$10="3F",3,4),FALSE)))))</f>
        <v>412</v>
      </c>
      <c r="K375" s="63">
        <f t="shared" si="52"/>
        <v>1209</v>
      </c>
      <c r="L375" s="62">
        <f aca="true" t="shared" si="54" ref="L375:L400">IF($N$19="","",IF(C375="","",ROUND(K375/J375,2)))</f>
        <v>2.93</v>
      </c>
      <c r="M375" s="62">
        <f aca="true" t="shared" si="55" ref="M375:M400">IF(C375="","",VLOOKUP(A375,$B$374:$N$401,12,FALSE)+L375)</f>
        <v>2.93</v>
      </c>
      <c r="N375" s="155"/>
      <c r="U375" s="138">
        <f aca="true" t="shared" si="56" ref="U375:U400">+IF(C375="",0,C375)</f>
        <v>29</v>
      </c>
      <c r="V375" s="138">
        <f aca="true" t="shared" si="57" ref="V375:V400">IF(OR(C375="",G375=""),0,C375*G375)</f>
        <v>29</v>
      </c>
    </row>
    <row r="376" spans="1:22" ht="15" hidden="1">
      <c r="A376" s="167" t="s">
        <v>154</v>
      </c>
      <c r="B376" s="168" t="s">
        <v>194</v>
      </c>
      <c r="C376" s="169">
        <v>29</v>
      </c>
      <c r="D376" s="169">
        <v>3</v>
      </c>
      <c r="E376" s="170">
        <v>110</v>
      </c>
      <c r="F376" s="58">
        <f>IF($N$359="","",IF($N$359="INDUSTRIAL",IF(OR($D$357="",$D$363=""),"",IF(OR(D376&gt;$D$364,E376&gt;$D$365),"Rev. Total. abona.",IF(D376="",IF(E376="","",E376/(0.92*1000)),IF(OR($D$357="SAN CRISTOBAL",$D$357="FLOREANA"),VLOOKUP(D376,'Estratos SCY - FLO'!$A$4:$M$108,IF($D$363="A1",2,IF($D$363="A",5,IF($D$363="B",8,11))))+E376/(0.92*1000),VLOOKUP(D376,'Estratos SCX - ISA'!$A$3:$M$107,IF($D$363="A1",2,IF($D$363="A",5,IF($D$363="B",8,11))))+E376/(0.92*1000))))),IF(OR($D$357="",$D$363=""),"",IF(OR(D376&gt;$D$364,E376&gt;$D$365),"Rev. Total. abona.",IF(D376="",IF(E376="","",E376/(0.92*1000)),IF(OR($D$357="SAN CRISTOBAL",$D$357="FLOREANA"),VLOOKUP(D376,'Estratos SCY - FLO'!$O$4:$S$108,IF($D$363="A1",2,IF($D$363="A",3,IF($D$363="B",4,5))))+E376/(0.92*1000),VLOOKUP(D376,'Estratos SCX - ISA'!$O$4:$S$108,IF($D$363="A1",2,IF($D$363="A",3,IF($D$363="B",4,5))))+E376/(0.92*1000)))))))</f>
        <v>22.186213405145857</v>
      </c>
      <c r="G376" s="59">
        <f t="shared" si="53"/>
        <v>1</v>
      </c>
      <c r="H376" s="183" t="s">
        <v>0</v>
      </c>
      <c r="I376" s="183" t="s">
        <v>0</v>
      </c>
      <c r="J376" s="59">
        <f>IF(OR(H376="",$D$10="",$N$10=""),"",IF($D$10="COBRE",VLOOKUP(CDV_PROY_BT!H376,FDV!$B$16:$E$24,IF(CDV_PROY_BT!$N$10="3F",3,4),FALSE),IF($D$10="ACS",VLOOKUP(CDV_PROY_BT!H376,FDV!$B$10:$E$15,IF(CDV_PROY_BT!$N$10="3F",3,4),FALSE),IF($D$10="5005 (PREENSAMBLADO)",VLOOKUP(CDV_PROY_BT!H376,FDV!$B$4:$E$9,IF(CDV_PROY_BT!$N$10="3F",3,4),FALSE),VLOOKUP(CDV_PROY_BT!H376,FDV!$B$25:$E$30,IF(CDV_PROY_BT!$N$10="3F",3,4),FALSE)))))</f>
        <v>412</v>
      </c>
      <c r="K376" s="63">
        <f t="shared" si="52"/>
        <v>643</v>
      </c>
      <c r="L376" s="62">
        <f t="shared" si="54"/>
        <v>1.56</v>
      </c>
      <c r="M376" s="62">
        <f t="shared" si="55"/>
        <v>4.49</v>
      </c>
      <c r="N376" s="155">
        <f>+M376</f>
        <v>4.49</v>
      </c>
      <c r="U376" s="138">
        <f t="shared" si="56"/>
        <v>29</v>
      </c>
      <c r="V376" s="138">
        <f t="shared" si="57"/>
        <v>29</v>
      </c>
    </row>
    <row r="377" spans="1:22" ht="15" hidden="1">
      <c r="A377" s="167" t="s">
        <v>157</v>
      </c>
      <c r="B377" s="168" t="s">
        <v>158</v>
      </c>
      <c r="C377" s="169">
        <v>28</v>
      </c>
      <c r="D377" s="169">
        <v>7</v>
      </c>
      <c r="E377" s="170">
        <v>220</v>
      </c>
      <c r="F377" s="58">
        <f>IF($N$359="","",IF($N$359="INDUSTRIAL",IF(OR($D$357="",$D$363=""),"",IF(OR(D377&gt;$D$364,E377&gt;$D$365),"Rev. Total. abona.",IF(D377="",IF(E377="","",E377/(0.92*1000)),IF(OR($D$357="SAN CRISTOBAL",$D$357="FLOREANA"),VLOOKUP(D377,'Estratos SCY - FLO'!$A$4:$M$108,IF($D$363="A1",2,IF($D$363="A",5,IF($D$363="B",8,11))))+E377/(0.92*1000),VLOOKUP(D377,'Estratos SCX - ISA'!$A$3:$M$107,IF($D$363="A1",2,IF($D$363="A",5,IF($D$363="B",8,11))))+E377/(0.92*1000))))),IF(OR($D$357="",$D$363=""),"",IF(OR(D377&gt;$D$364,E377&gt;$D$365),"Rev. Total. abona.",IF(D377="",IF(E377="","",E377/(0.92*1000)),IF(OR($D$357="SAN CRISTOBAL",$D$357="FLOREANA"),VLOOKUP(D377,'Estratos SCY - FLO'!$O$4:$S$108,IF($D$363="A1",2,IF($D$363="A",3,IF($D$363="B",4,5))))+E377/(0.92*1000),VLOOKUP(D377,'Estratos SCX - ISA'!$O$4:$S$108,IF($D$363="A1",2,IF($D$363="A",3,IF($D$363="B",4,5))))+E377/(0.92*1000)))))))</f>
        <v>47.94757369652129</v>
      </c>
      <c r="G377" s="59">
        <f t="shared" si="53"/>
        <v>1</v>
      </c>
      <c r="H377" s="183" t="s">
        <v>0</v>
      </c>
      <c r="I377" s="183" t="s">
        <v>0</v>
      </c>
      <c r="J377" s="59">
        <f>IF(OR(H377="",$D$10="",$N$10=""),"",IF($D$10="COBRE",VLOOKUP(CDV_PROY_BT!H377,FDV!$B$16:$E$24,IF(CDV_PROY_BT!$N$10="3F",3,4),FALSE),IF($D$10="ACS",VLOOKUP(CDV_PROY_BT!H377,FDV!$B$10:$E$15,IF(CDV_PROY_BT!$N$10="3F",3,4),FALSE),IF($D$10="5005 (PREENSAMBLADO)",VLOOKUP(CDV_PROY_BT!H377,FDV!$B$4:$E$9,IF(CDV_PROY_BT!$N$10="3F",3,4),FALSE),VLOOKUP(CDV_PROY_BT!H377,FDV!$B$25:$E$30,IF(CDV_PROY_BT!$N$10="3F",3,4),FALSE)))))</f>
        <v>412</v>
      </c>
      <c r="K377" s="63">
        <f t="shared" si="52"/>
        <v>1343</v>
      </c>
      <c r="L377" s="62">
        <f t="shared" si="54"/>
        <v>3.26</v>
      </c>
      <c r="M377" s="62">
        <f t="shared" si="55"/>
        <v>3.26</v>
      </c>
      <c r="N377" s="155"/>
      <c r="U377" s="138">
        <f t="shared" si="56"/>
        <v>28</v>
      </c>
      <c r="V377" s="138">
        <f t="shared" si="57"/>
        <v>28</v>
      </c>
    </row>
    <row r="378" spans="1:22" ht="15" hidden="1">
      <c r="A378" s="167" t="s">
        <v>158</v>
      </c>
      <c r="B378" s="168" t="s">
        <v>216</v>
      </c>
      <c r="C378" s="169">
        <v>28</v>
      </c>
      <c r="D378" s="169">
        <v>6</v>
      </c>
      <c r="E378" s="170">
        <v>110</v>
      </c>
      <c r="F378" s="58">
        <f>IF($N$359="","",IF($N$359="INDUSTRIAL",IF(OR($D$357="",$D$363=""),"",IF(OR(D378&gt;$D$364,E378&gt;$D$365),"Rev. Total. abona.",IF(D378="",IF(E378="","",E378/(0.92*1000)),IF(OR($D$357="SAN CRISTOBAL",$D$357="FLOREANA"),VLOOKUP(D378,'Estratos SCY - FLO'!$A$4:$M$108,IF($D$363="A1",2,IF($D$363="A",5,IF($D$363="B",8,11))))+E378/(0.92*1000),VLOOKUP(D378,'Estratos SCX - ISA'!$A$3:$M$107,IF($D$363="A1",2,IF($D$363="A",5,IF($D$363="B",8,11))))+E378/(0.92*1000))))),IF(OR($D$357="",$D$363=""),"",IF(OR(D378&gt;$D$364,E378&gt;$D$365),"Rev. Total. abona.",IF(D378="",IF(E378="","",E378/(0.92*1000)),IF(OR($D$357="SAN CRISTOBAL",$D$357="FLOREANA"),VLOOKUP(D378,'Estratos SCY - FLO'!$O$4:$S$108,IF($D$363="A1",2,IF($D$363="A",3,IF($D$363="B",4,5))))+E378/(0.92*1000),VLOOKUP(D378,'Estratos SCX - ISA'!$O$4:$S$108,IF($D$363="A1",2,IF($D$363="A",3,IF($D$363="B",4,5))))+E378/(0.92*1000)))))))</f>
        <v>41.58380115998639</v>
      </c>
      <c r="G378" s="59">
        <f t="shared" si="53"/>
        <v>1</v>
      </c>
      <c r="H378" s="183" t="s">
        <v>0</v>
      </c>
      <c r="I378" s="183" t="s">
        <v>0</v>
      </c>
      <c r="J378" s="59">
        <f>IF(OR(H378="",$D$10="",$N$10=""),"",IF($D$10="COBRE",VLOOKUP(CDV_PROY_BT!H378,FDV!$B$16:$E$24,IF(CDV_PROY_BT!$N$10="3F",3,4),FALSE),IF($D$10="ACS",VLOOKUP(CDV_PROY_BT!H378,FDV!$B$10:$E$15,IF(CDV_PROY_BT!$N$10="3F",3,4),FALSE),IF($D$10="5005 (PREENSAMBLADO)",VLOOKUP(CDV_PROY_BT!H378,FDV!$B$4:$E$9,IF(CDV_PROY_BT!$N$10="3F",3,4),FALSE),VLOOKUP(CDV_PROY_BT!H378,FDV!$B$25:$E$30,IF(CDV_PROY_BT!$N$10="3F",3,4),FALSE)))))</f>
        <v>412</v>
      </c>
      <c r="K378" s="63">
        <f t="shared" si="52"/>
        <v>1164</v>
      </c>
      <c r="L378" s="62">
        <f t="shared" si="54"/>
        <v>2.83</v>
      </c>
      <c r="M378" s="62">
        <f t="shared" si="55"/>
        <v>6.09</v>
      </c>
      <c r="N378" s="155">
        <f>+M378</f>
        <v>6.09</v>
      </c>
      <c r="U378" s="138">
        <f t="shared" si="56"/>
        <v>28</v>
      </c>
      <c r="V378" s="138">
        <f t="shared" si="57"/>
        <v>28</v>
      </c>
    </row>
    <row r="379" spans="1:22" ht="15" hidden="1">
      <c r="A379" s="167"/>
      <c r="B379" s="168"/>
      <c r="C379" s="169"/>
      <c r="D379" s="169"/>
      <c r="E379" s="170"/>
      <c r="F379" s="58" t="str">
        <f>IF($N$359="","",IF($N$359="INDUSTRIAL",IF(OR($D$357="",$D$363=""),"",IF(OR(D379&gt;$D$364,E379&gt;$D$365),"Rev. Total. abona.",IF(D379="",IF(E379="","",E379/(0.92*1000)),IF(OR($D$357="SAN CRISTOBAL",$D$357="FLOREANA"),VLOOKUP(D379,'Estratos SCY - FLO'!$A$4:$M$108,IF($D$363="A1",2,IF($D$363="A",5,IF($D$363="B",8,11))))+E379/(0.92*1000),VLOOKUP(D379,'Estratos SCX - ISA'!$A$3:$M$107,IF($D$363="A1",2,IF($D$363="A",5,IF($D$363="B",8,11))))+E379/(0.92*1000))))),IF(OR($D$357="",$D$363=""),"",IF(OR(D379&gt;$D$364,E379&gt;$D$365),"Rev. Total. abona.",IF(D379="",IF(E379="","",E379/(0.92*1000)),IF(OR($D$357="SAN CRISTOBAL",$D$357="FLOREANA"),VLOOKUP(D379,'Estratos SCY - FLO'!$O$4:$S$108,IF($D$363="A1",2,IF($D$363="A",3,IF($D$363="B",4,5))))+E379/(0.92*1000),VLOOKUP(D379,'Estratos SCX - ISA'!$O$4:$S$108,IF($D$363="A1",2,IF($D$363="A",3,IF($D$363="B",4,5))))+E379/(0.92*1000)))))))</f>
        <v/>
      </c>
      <c r="G379" s="59" t="str">
        <f t="shared" si="53"/>
        <v/>
      </c>
      <c r="H379" s="183"/>
      <c r="I379" s="183"/>
      <c r="J379" s="59" t="str">
        <f>IF(OR(H379="",$D$10="",$N$10=""),"",IF($D$10="COBRE",VLOOKUP(CDV_PROY_BT!H379,FDV!$B$16:$E$24,IF(CDV_PROY_BT!$N$10="3F",3,4),FALSE),IF($D$10="ACS",VLOOKUP(CDV_PROY_BT!H379,FDV!$B$10:$E$15,IF(CDV_PROY_BT!$N$10="3F",3,4),FALSE),IF($D$10="5005 (PREENSAMBLADO)",VLOOKUP(CDV_PROY_BT!H379,FDV!$B$4:$E$9,IF(CDV_PROY_BT!$N$10="3F",3,4),FALSE),VLOOKUP(CDV_PROY_BT!H379,FDV!$B$25:$E$30,IF(CDV_PROY_BT!$N$10="3F",3,4),FALSE)))))</f>
        <v/>
      </c>
      <c r="K379" s="63" t="str">
        <f t="shared" si="52"/>
        <v/>
      </c>
      <c r="L379" s="62" t="str">
        <f t="shared" si="54"/>
        <v/>
      </c>
      <c r="M379" s="62" t="str">
        <f t="shared" si="55"/>
        <v/>
      </c>
      <c r="N379" s="155"/>
      <c r="U379" s="138">
        <f t="shared" si="56"/>
        <v>0</v>
      </c>
      <c r="V379" s="138">
        <f t="shared" si="57"/>
        <v>0</v>
      </c>
    </row>
    <row r="380" spans="1:22" ht="15" hidden="1">
      <c r="A380" s="167"/>
      <c r="B380" s="168"/>
      <c r="C380" s="169"/>
      <c r="D380" s="169"/>
      <c r="E380" s="170"/>
      <c r="F380" s="58" t="str">
        <f>IF($N$359="","",IF($N$359="INDUSTRIAL",IF(OR($D$357="",$D$363=""),"",IF(OR(D380&gt;$D$364,E380&gt;$D$365),"Rev. Total. abona.",IF(D380="",IF(E380="","",E380/(0.92*1000)),IF(OR($D$357="SAN CRISTOBAL",$D$357="FLOREANA"),VLOOKUP(D380,'Estratos SCY - FLO'!$A$4:$M$108,IF($D$363="A1",2,IF($D$363="A",5,IF($D$363="B",8,11))))+E380/(0.92*1000),VLOOKUP(D380,'Estratos SCX - ISA'!$A$3:$M$107,IF($D$363="A1",2,IF($D$363="A",5,IF($D$363="B",8,11))))+E380/(0.92*1000))))),IF(OR($D$357="",$D$363=""),"",IF(OR(D380&gt;$D$364,E380&gt;$D$365),"Rev. Total. abona.",IF(D380="",IF(E380="","",E380/(0.92*1000)),IF(OR($D$357="SAN CRISTOBAL",$D$357="FLOREANA"),VLOOKUP(D380,'Estratos SCY - FLO'!$O$4:$S$108,IF($D$363="A1",2,IF($D$363="A",3,IF($D$363="B",4,5))))+E380/(0.92*1000),VLOOKUP(D380,'Estratos SCX - ISA'!$O$4:$S$108,IF($D$363="A1",2,IF($D$363="A",3,IF($D$363="B",4,5))))+E380/(0.92*1000)))))))</f>
        <v/>
      </c>
      <c r="G380" s="59" t="str">
        <f t="shared" si="53"/>
        <v/>
      </c>
      <c r="H380" s="183"/>
      <c r="I380" s="183"/>
      <c r="J380" s="59" t="str">
        <f>IF(OR(H380="",$D$10="",$N$10=""),"",IF($D$10="COBRE",VLOOKUP(CDV_PROY_BT!H380,FDV!$B$16:$E$24,IF(CDV_PROY_BT!$N$10="3F",3,4),FALSE),IF($D$10="ACS",VLOOKUP(CDV_PROY_BT!H380,FDV!$B$10:$E$15,IF(CDV_PROY_BT!$N$10="3F",3,4),FALSE),IF($D$10="5005 (PREENSAMBLADO)",VLOOKUP(CDV_PROY_BT!H380,FDV!$B$4:$E$9,IF(CDV_PROY_BT!$N$10="3F",3,4),FALSE),VLOOKUP(CDV_PROY_BT!H380,FDV!$B$25:$E$30,IF(CDV_PROY_BT!$N$10="3F",3,4),FALSE)))))</f>
        <v/>
      </c>
      <c r="K380" s="63" t="str">
        <f t="shared" si="52"/>
        <v/>
      </c>
      <c r="L380" s="62" t="str">
        <f t="shared" si="54"/>
        <v/>
      </c>
      <c r="M380" s="62" t="str">
        <f t="shared" si="55"/>
        <v/>
      </c>
      <c r="N380" s="155"/>
      <c r="U380" s="138">
        <f t="shared" si="56"/>
        <v>0</v>
      </c>
      <c r="V380" s="138">
        <f t="shared" si="57"/>
        <v>0</v>
      </c>
    </row>
    <row r="381" spans="1:22" ht="15" hidden="1">
      <c r="A381" s="167"/>
      <c r="B381" s="168"/>
      <c r="C381" s="169"/>
      <c r="D381" s="169"/>
      <c r="E381" s="170"/>
      <c r="F381" s="58" t="str">
        <f>IF($N$359="","",IF($N$359="INDUSTRIAL",IF(OR($D$357="",$D$363=""),"",IF(OR(D381&gt;$D$364,E381&gt;$D$365),"Rev. Total. abona.",IF(D381="",IF(E381="","",E381/(0.92*1000)),IF(OR($D$357="SAN CRISTOBAL",$D$357="FLOREANA"),VLOOKUP(D381,'Estratos SCY - FLO'!$A$4:$M$108,IF($D$363="A1",2,IF($D$363="A",5,IF($D$363="B",8,11))))+E381/(0.92*1000),VLOOKUP(D381,'Estratos SCX - ISA'!$A$3:$M$107,IF($D$363="A1",2,IF($D$363="A",5,IF($D$363="B",8,11))))+E381/(0.92*1000))))),IF(OR($D$357="",$D$363=""),"",IF(OR(D381&gt;$D$364,E381&gt;$D$365),"Rev. Total. abona.",IF(D381="",IF(E381="","",E381/(0.92*1000)),IF(OR($D$357="SAN CRISTOBAL",$D$357="FLOREANA"),VLOOKUP(D381,'Estratos SCY - FLO'!$O$4:$S$108,IF($D$363="A1",2,IF($D$363="A",3,IF($D$363="B",4,5))))+E381/(0.92*1000),VLOOKUP(D381,'Estratos SCX - ISA'!$O$4:$S$108,IF($D$363="A1",2,IF($D$363="A",3,IF($D$363="B",4,5))))+E381/(0.92*1000)))))))</f>
        <v/>
      </c>
      <c r="G381" s="59" t="str">
        <f t="shared" si="53"/>
        <v/>
      </c>
      <c r="H381" s="183"/>
      <c r="I381" s="183"/>
      <c r="J381" s="59" t="str">
        <f>IF(OR(H381="",$D$10="",$N$10=""),"",IF($D$10="COBRE",VLOOKUP(CDV_PROY_BT!H381,FDV!$B$16:$E$24,IF(CDV_PROY_BT!$N$10="3F",3,4),FALSE),IF($D$10="ACS",VLOOKUP(CDV_PROY_BT!H381,FDV!$B$10:$E$15,IF(CDV_PROY_BT!$N$10="3F",3,4),FALSE),IF($D$10="5005 (PREENSAMBLADO)",VLOOKUP(CDV_PROY_BT!H381,FDV!$B$4:$E$9,IF(CDV_PROY_BT!$N$10="3F",3,4),FALSE),VLOOKUP(CDV_PROY_BT!H381,FDV!$B$25:$E$30,IF(CDV_PROY_BT!$N$10="3F",3,4),FALSE)))))</f>
        <v/>
      </c>
      <c r="K381" s="63" t="str">
        <f t="shared" si="52"/>
        <v/>
      </c>
      <c r="L381" s="62" t="str">
        <f t="shared" si="54"/>
        <v/>
      </c>
      <c r="M381" s="62" t="str">
        <f t="shared" si="55"/>
        <v/>
      </c>
      <c r="N381" s="155"/>
      <c r="U381" s="138">
        <f t="shared" si="56"/>
        <v>0</v>
      </c>
      <c r="V381" s="138">
        <f t="shared" si="57"/>
        <v>0</v>
      </c>
    </row>
    <row r="382" spans="1:22" ht="15" hidden="1">
      <c r="A382" s="171"/>
      <c r="B382" s="172"/>
      <c r="C382" s="173"/>
      <c r="D382" s="173"/>
      <c r="E382" s="170"/>
      <c r="F382" s="58" t="str">
        <f>IF($N$359="","",IF($N$359="INDUSTRIAL",IF(OR($D$357="",$D$363=""),"",IF(OR(D382&gt;$D$364,E382&gt;$D$365),"Rev. Total. abona.",IF(D382="",IF(E382="","",E382/(0.92*1000)),IF(OR($D$357="SAN CRISTOBAL",$D$357="FLOREANA"),VLOOKUP(D382,'Estratos SCY - FLO'!$A$4:$M$108,IF($D$363="A1",2,IF($D$363="A",5,IF($D$363="B",8,11))))+E382/(0.92*1000),VLOOKUP(D382,'Estratos SCX - ISA'!$A$3:$M$107,IF($D$363="A1",2,IF($D$363="A",5,IF($D$363="B",8,11))))+E382/(0.92*1000))))),IF(OR($D$357="",$D$363=""),"",IF(OR(D382&gt;$D$364,E382&gt;$D$365),"Rev. Total. abona.",IF(D382="",IF(E382="","",E382/(0.92*1000)),IF(OR($D$357="SAN CRISTOBAL",$D$357="FLOREANA"),VLOOKUP(D382,'Estratos SCY - FLO'!$O$4:$S$108,IF($D$363="A1",2,IF($D$363="A",3,IF($D$363="B",4,5))))+E382/(0.92*1000),VLOOKUP(D382,'Estratos SCX - ISA'!$O$4:$S$108,IF($D$363="A1",2,IF($D$363="A",3,IF($D$363="B",4,5))))+E382/(0.92*1000)))))))</f>
        <v/>
      </c>
      <c r="G382" s="59" t="str">
        <f t="shared" si="53"/>
        <v/>
      </c>
      <c r="H382" s="183"/>
      <c r="I382" s="183"/>
      <c r="J382" s="59" t="str">
        <f>IF(OR(H382="",$D$10="",$N$10=""),"",IF($D$10="COBRE",VLOOKUP(CDV_PROY_BT!H382,FDV!$B$16:$E$24,IF(CDV_PROY_BT!$N$10="3F",3,4),FALSE),IF($D$10="ACS",VLOOKUP(CDV_PROY_BT!H382,FDV!$B$10:$E$15,IF(CDV_PROY_BT!$N$10="3F",3,4),FALSE),IF($D$10="5005 (PREENSAMBLADO)",VLOOKUP(CDV_PROY_BT!H382,FDV!$B$4:$E$9,IF(CDV_PROY_BT!$N$10="3F",3,4),FALSE),VLOOKUP(CDV_PROY_BT!H382,FDV!$B$25:$E$30,IF(CDV_PROY_BT!$N$10="3F",3,4),FALSE)))))</f>
        <v/>
      </c>
      <c r="K382" s="63" t="str">
        <f t="shared" si="52"/>
        <v/>
      </c>
      <c r="L382" s="62" t="str">
        <f t="shared" si="54"/>
        <v/>
      </c>
      <c r="M382" s="62" t="str">
        <f t="shared" si="55"/>
        <v/>
      </c>
      <c r="N382" s="155"/>
      <c r="U382" s="138">
        <f t="shared" si="56"/>
        <v>0</v>
      </c>
      <c r="V382" s="138">
        <f t="shared" si="57"/>
        <v>0</v>
      </c>
    </row>
    <row r="383" spans="1:22" ht="15" hidden="1">
      <c r="A383" s="167"/>
      <c r="B383" s="168"/>
      <c r="C383" s="169"/>
      <c r="D383" s="169"/>
      <c r="E383" s="174"/>
      <c r="F383" s="58" t="str">
        <f>IF($N$359="","",IF($N$359="INDUSTRIAL",IF(OR($D$357="",$D$363=""),"",IF(OR(D383&gt;$D$364,E383&gt;$D$365),"Rev. Total. abona.",IF(D383="",IF(E383="","",E383/(0.92*1000)),IF(OR($D$357="SAN CRISTOBAL",$D$357="FLOREANA"),VLOOKUP(D383,'Estratos SCY - FLO'!$A$4:$M$108,IF($D$363="A1",2,IF($D$363="A",5,IF($D$363="B",8,11))))+E383/(0.92*1000),VLOOKUP(D383,'Estratos SCX - ISA'!$A$3:$M$107,IF($D$363="A1",2,IF($D$363="A",5,IF($D$363="B",8,11))))+E383/(0.92*1000))))),IF(OR($D$357="",$D$363=""),"",IF(OR(D383&gt;$D$364,E383&gt;$D$365),"Rev. Total. abona.",IF(D383="",IF(E383="","",E383/(0.92*1000)),IF(OR($D$357="SAN CRISTOBAL",$D$357="FLOREANA"),VLOOKUP(D383,'Estratos SCY - FLO'!$O$4:$S$108,IF($D$363="A1",2,IF($D$363="A",3,IF($D$363="B",4,5))))+E383/(0.92*1000),VLOOKUP(D383,'Estratos SCX - ISA'!$O$4:$S$108,IF($D$363="A1",2,IF($D$363="A",3,IF($D$363="B",4,5))))+E383/(0.92*1000)))))))</f>
        <v/>
      </c>
      <c r="G383" s="59" t="str">
        <f t="shared" si="53"/>
        <v/>
      </c>
      <c r="H383" s="183"/>
      <c r="I383" s="183"/>
      <c r="J383" s="59" t="str">
        <f>IF(OR(H383="",$D$10="",$N$10=""),"",IF($D$10="COBRE",VLOOKUP(CDV_PROY_BT!H383,FDV!$B$16:$E$24,IF(CDV_PROY_BT!$N$10="3F",3,4),FALSE),IF($D$10="ACS",VLOOKUP(CDV_PROY_BT!H383,FDV!$B$10:$E$15,IF(CDV_PROY_BT!$N$10="3F",3,4),FALSE),IF($D$10="5005 (PREENSAMBLADO)",VLOOKUP(CDV_PROY_BT!H383,FDV!$B$4:$E$9,IF(CDV_PROY_BT!$N$10="3F",3,4),FALSE),VLOOKUP(CDV_PROY_BT!H383,FDV!$B$25:$E$30,IF(CDV_PROY_BT!$N$10="3F",3,4),FALSE)))))</f>
        <v/>
      </c>
      <c r="K383" s="63" t="str">
        <f t="shared" si="52"/>
        <v/>
      </c>
      <c r="L383" s="62" t="str">
        <f t="shared" si="54"/>
        <v/>
      </c>
      <c r="M383" s="62" t="str">
        <f t="shared" si="55"/>
        <v/>
      </c>
      <c r="N383" s="155"/>
      <c r="U383" s="138">
        <f t="shared" si="56"/>
        <v>0</v>
      </c>
      <c r="V383" s="138">
        <f t="shared" si="57"/>
        <v>0</v>
      </c>
    </row>
    <row r="384" spans="1:22" ht="15" hidden="1">
      <c r="A384" s="175"/>
      <c r="B384" s="176"/>
      <c r="C384" s="177"/>
      <c r="D384" s="177"/>
      <c r="E384" s="170"/>
      <c r="F384" s="58" t="str">
        <f>IF($N$359="","",IF($N$359="INDUSTRIAL",IF(OR($D$357="",$D$363=""),"",IF(OR(D384&gt;$D$364,E384&gt;$D$365),"Rev. Total. abona.",IF(D384="",IF(E384="","",E384/(0.92*1000)),IF(OR($D$357="SAN CRISTOBAL",$D$357="FLOREANA"),VLOOKUP(D384,'Estratos SCY - FLO'!$A$4:$M$108,IF($D$363="A1",2,IF($D$363="A",5,IF($D$363="B",8,11))))+E384/(0.92*1000),VLOOKUP(D384,'Estratos SCX - ISA'!$A$3:$M$107,IF($D$363="A1",2,IF($D$363="A",5,IF($D$363="B",8,11))))+E384/(0.92*1000))))),IF(OR($D$357="",$D$363=""),"",IF(OR(D384&gt;$D$364,E384&gt;$D$365),"Rev. Total. abona.",IF(D384="",IF(E384="","",E384/(0.92*1000)),IF(OR($D$357="SAN CRISTOBAL",$D$357="FLOREANA"),VLOOKUP(D384,'Estratos SCY - FLO'!$O$4:$S$108,IF($D$363="A1",2,IF($D$363="A",3,IF($D$363="B",4,5))))+E384/(0.92*1000),VLOOKUP(D384,'Estratos SCX - ISA'!$O$4:$S$108,IF($D$363="A1",2,IF($D$363="A",3,IF($D$363="B",4,5))))+E384/(0.92*1000)))))))</f>
        <v/>
      </c>
      <c r="G384" s="59" t="str">
        <f t="shared" si="53"/>
        <v/>
      </c>
      <c r="H384" s="183"/>
      <c r="I384" s="183"/>
      <c r="J384" s="59" t="str">
        <f>IF(OR(H384="",$D$10="",$N$10=""),"",IF($D$10="COBRE",VLOOKUP(CDV_PROY_BT!H384,FDV!$B$16:$E$24,IF(CDV_PROY_BT!$N$10="3F",3,4),FALSE),IF($D$10="ACS",VLOOKUP(CDV_PROY_BT!H384,FDV!$B$10:$E$15,IF(CDV_PROY_BT!$N$10="3F",3,4),FALSE),IF($D$10="5005 (PREENSAMBLADO)",VLOOKUP(CDV_PROY_BT!H384,FDV!$B$4:$E$9,IF(CDV_PROY_BT!$N$10="3F",3,4),FALSE),VLOOKUP(CDV_PROY_BT!H384,FDV!$B$25:$E$30,IF(CDV_PROY_BT!$N$10="3F",3,4),FALSE)))))</f>
        <v/>
      </c>
      <c r="K384" s="63" t="str">
        <f t="shared" si="52"/>
        <v/>
      </c>
      <c r="L384" s="62" t="str">
        <f t="shared" si="54"/>
        <v/>
      </c>
      <c r="M384" s="62" t="str">
        <f t="shared" si="55"/>
        <v/>
      </c>
      <c r="N384" s="155"/>
      <c r="U384" s="138">
        <f t="shared" si="56"/>
        <v>0</v>
      </c>
      <c r="V384" s="138">
        <f t="shared" si="57"/>
        <v>0</v>
      </c>
    </row>
    <row r="385" spans="1:22" ht="15" hidden="1">
      <c r="A385" s="167"/>
      <c r="B385" s="168"/>
      <c r="C385" s="169"/>
      <c r="D385" s="169"/>
      <c r="E385" s="170"/>
      <c r="F385" s="58" t="str">
        <f>IF($N$359="","",IF($N$359="INDUSTRIAL",IF(OR($D$357="",$D$363=""),"",IF(OR(D385&gt;$D$364,E385&gt;$D$365),"Rev. Total. abona.",IF(D385="",IF(E385="","",E385/(0.92*1000)),IF(OR($D$357="SAN CRISTOBAL",$D$357="FLOREANA"),VLOOKUP(D385,'Estratos SCY - FLO'!$A$4:$M$108,IF($D$363="A1",2,IF($D$363="A",5,IF($D$363="B",8,11))))+E385/(0.92*1000),VLOOKUP(D385,'Estratos SCX - ISA'!$A$3:$M$107,IF($D$363="A1",2,IF($D$363="A",5,IF($D$363="B",8,11))))+E385/(0.92*1000))))),IF(OR($D$357="",$D$363=""),"",IF(OR(D385&gt;$D$364,E385&gt;$D$365),"Rev. Total. abona.",IF(D385="",IF(E385="","",E385/(0.92*1000)),IF(OR($D$357="SAN CRISTOBAL",$D$357="FLOREANA"),VLOOKUP(D385,'Estratos SCY - FLO'!$O$4:$S$108,IF($D$363="A1",2,IF($D$363="A",3,IF($D$363="B",4,5))))+E385/(0.92*1000),VLOOKUP(D385,'Estratos SCX - ISA'!$O$4:$S$108,IF($D$363="A1",2,IF($D$363="A",3,IF($D$363="B",4,5))))+E385/(0.92*1000)))))))</f>
        <v/>
      </c>
      <c r="G385" s="59" t="str">
        <f t="shared" si="53"/>
        <v/>
      </c>
      <c r="H385" s="183"/>
      <c r="I385" s="183"/>
      <c r="J385" s="59" t="str">
        <f>IF(OR(H385="",$D$10="",$N$10=""),"",IF($D$10="COBRE",VLOOKUP(CDV_PROY_BT!H385,FDV!$B$16:$E$24,IF(CDV_PROY_BT!$N$10="3F",3,4),FALSE),IF($D$10="ACS",VLOOKUP(CDV_PROY_BT!H385,FDV!$B$10:$E$15,IF(CDV_PROY_BT!$N$10="3F",3,4),FALSE),IF($D$10="5005 (PREENSAMBLADO)",VLOOKUP(CDV_PROY_BT!H385,FDV!$B$4:$E$9,IF(CDV_PROY_BT!$N$10="3F",3,4),FALSE),VLOOKUP(CDV_PROY_BT!H385,FDV!$B$25:$E$30,IF(CDV_PROY_BT!$N$10="3F",3,4),FALSE)))))</f>
        <v/>
      </c>
      <c r="K385" s="63" t="str">
        <f t="shared" si="52"/>
        <v/>
      </c>
      <c r="L385" s="62" t="str">
        <f t="shared" si="54"/>
        <v/>
      </c>
      <c r="M385" s="62" t="str">
        <f t="shared" si="55"/>
        <v/>
      </c>
      <c r="N385" s="155"/>
      <c r="U385" s="138">
        <f t="shared" si="56"/>
        <v>0</v>
      </c>
      <c r="V385" s="138">
        <f t="shared" si="57"/>
        <v>0</v>
      </c>
    </row>
    <row r="386" spans="1:22" ht="15" hidden="1">
      <c r="A386" s="167"/>
      <c r="B386" s="168"/>
      <c r="C386" s="169"/>
      <c r="D386" s="169"/>
      <c r="E386" s="170"/>
      <c r="F386" s="58" t="str">
        <f>IF($N$359="","",IF($N$359="INDUSTRIAL",IF(OR($D$357="",$D$363=""),"",IF(OR(D386&gt;$D$364,E386&gt;$D$365),"Rev. Total. abona.",IF(D386="",IF(E386="","",E386/(0.92*1000)),IF(OR($D$357="SAN CRISTOBAL",$D$357="FLOREANA"),VLOOKUP(D386,'Estratos SCY - FLO'!$A$4:$M$108,IF($D$363="A1",2,IF($D$363="A",5,IF($D$363="B",8,11))))+E386/(0.92*1000),VLOOKUP(D386,'Estratos SCX - ISA'!$A$3:$M$107,IF($D$363="A1",2,IF($D$363="A",5,IF($D$363="B",8,11))))+E386/(0.92*1000))))),IF(OR($D$357="",$D$363=""),"",IF(OR(D386&gt;$D$364,E386&gt;$D$365),"Rev. Total. abona.",IF(D386="",IF(E386="","",E386/(0.92*1000)),IF(OR($D$357="SAN CRISTOBAL",$D$357="FLOREANA"),VLOOKUP(D386,'Estratos SCY - FLO'!$O$4:$S$108,IF($D$363="A1",2,IF($D$363="A",3,IF($D$363="B",4,5))))+E386/(0.92*1000),VLOOKUP(D386,'Estratos SCX - ISA'!$O$4:$S$108,IF($D$363="A1",2,IF($D$363="A",3,IF($D$363="B",4,5))))+E386/(0.92*1000)))))))</f>
        <v/>
      </c>
      <c r="G386" s="59" t="str">
        <f t="shared" si="53"/>
        <v/>
      </c>
      <c r="H386" s="183"/>
      <c r="I386" s="183"/>
      <c r="J386" s="59" t="str">
        <f>IF(OR(H386="",$D$10="",$N$10=""),"",IF($D$10="COBRE",VLOOKUP(CDV_PROY_BT!H386,FDV!$B$16:$E$24,IF(CDV_PROY_BT!$N$10="3F",3,4),FALSE),IF($D$10="ACS",VLOOKUP(CDV_PROY_BT!H386,FDV!$B$10:$E$15,IF(CDV_PROY_BT!$N$10="3F",3,4),FALSE),IF($D$10="5005 (PREENSAMBLADO)",VLOOKUP(CDV_PROY_BT!H386,FDV!$B$4:$E$9,IF(CDV_PROY_BT!$N$10="3F",3,4),FALSE),VLOOKUP(CDV_PROY_BT!H386,FDV!$B$25:$E$30,IF(CDV_PROY_BT!$N$10="3F",3,4),FALSE)))))</f>
        <v/>
      </c>
      <c r="K386" s="63" t="str">
        <f t="shared" si="52"/>
        <v/>
      </c>
      <c r="L386" s="62" t="str">
        <f t="shared" si="54"/>
        <v/>
      </c>
      <c r="M386" s="62" t="str">
        <f t="shared" si="55"/>
        <v/>
      </c>
      <c r="N386" s="155"/>
      <c r="U386" s="138">
        <f t="shared" si="56"/>
        <v>0</v>
      </c>
      <c r="V386" s="138">
        <f t="shared" si="57"/>
        <v>0</v>
      </c>
    </row>
    <row r="387" spans="1:22" ht="15" hidden="1">
      <c r="A387" s="167"/>
      <c r="B387" s="168"/>
      <c r="C387" s="169"/>
      <c r="D387" s="169"/>
      <c r="E387" s="170"/>
      <c r="F387" s="58" t="str">
        <f>IF($N$359="","",IF($N$359="INDUSTRIAL",IF(OR($D$357="",$D$363=""),"",IF(OR(D387&gt;$D$364,E387&gt;$D$365),"Rev. Total. abona.",IF(D387="",IF(E387="","",E387/(0.92*1000)),IF(OR($D$357="SAN CRISTOBAL",$D$357="FLOREANA"),VLOOKUP(D387,'Estratos SCY - FLO'!$A$4:$M$108,IF($D$363="A1",2,IF($D$363="A",5,IF($D$363="B",8,11))))+E387/(0.92*1000),VLOOKUP(D387,'Estratos SCX - ISA'!$A$3:$M$107,IF($D$363="A1",2,IF($D$363="A",5,IF($D$363="B",8,11))))+E387/(0.92*1000))))),IF(OR($D$357="",$D$363=""),"",IF(OR(D387&gt;$D$364,E387&gt;$D$365),"Rev. Total. abona.",IF(D387="",IF(E387="","",E387/(0.92*1000)),IF(OR($D$357="SAN CRISTOBAL",$D$357="FLOREANA"),VLOOKUP(D387,'Estratos SCY - FLO'!$O$4:$S$108,IF($D$363="A1",2,IF($D$363="A",3,IF($D$363="B",4,5))))+E387/(0.92*1000),VLOOKUP(D387,'Estratos SCX - ISA'!$O$4:$S$108,IF($D$363="A1",2,IF($D$363="A",3,IF($D$363="B",4,5))))+E387/(0.92*1000)))))))</f>
        <v/>
      </c>
      <c r="G387" s="59" t="str">
        <f t="shared" si="53"/>
        <v/>
      </c>
      <c r="H387" s="183"/>
      <c r="I387" s="183"/>
      <c r="J387" s="59" t="str">
        <f>IF(OR(H387="",$D$10="",$N$10=""),"",IF($D$10="COBRE",VLOOKUP(CDV_PROY_BT!H387,FDV!$B$16:$E$24,IF(CDV_PROY_BT!$N$10="3F",3,4),FALSE),IF($D$10="ACS",VLOOKUP(CDV_PROY_BT!H387,FDV!$B$10:$E$15,IF(CDV_PROY_BT!$N$10="3F",3,4),FALSE),IF($D$10="5005 (PREENSAMBLADO)",VLOOKUP(CDV_PROY_BT!H387,FDV!$B$4:$E$9,IF(CDV_PROY_BT!$N$10="3F",3,4),FALSE),VLOOKUP(CDV_PROY_BT!H387,FDV!$B$25:$E$30,IF(CDV_PROY_BT!$N$10="3F",3,4),FALSE)))))</f>
        <v/>
      </c>
      <c r="K387" s="63" t="str">
        <f t="shared" si="52"/>
        <v/>
      </c>
      <c r="L387" s="62" t="str">
        <f t="shared" si="54"/>
        <v/>
      </c>
      <c r="M387" s="62" t="str">
        <f t="shared" si="55"/>
        <v/>
      </c>
      <c r="N387" s="155"/>
      <c r="U387" s="138">
        <f t="shared" si="56"/>
        <v>0</v>
      </c>
      <c r="V387" s="138">
        <f t="shared" si="57"/>
        <v>0</v>
      </c>
    </row>
    <row r="388" spans="1:22" ht="15" hidden="1">
      <c r="A388" s="167"/>
      <c r="B388" s="168"/>
      <c r="C388" s="169"/>
      <c r="D388" s="169"/>
      <c r="E388" s="170"/>
      <c r="F388" s="58" t="str">
        <f>IF($N$359="","",IF($N$359="INDUSTRIAL",IF(OR($D$357="",$D$363=""),"",IF(OR(D388&gt;$D$364,E388&gt;$D$365),"Rev. Total. abona.",IF(D388="",IF(E388="","",E388/(0.92*1000)),IF(OR($D$357="SAN CRISTOBAL",$D$357="FLOREANA"),VLOOKUP(D388,'Estratos SCY - FLO'!$A$4:$M$108,IF($D$363="A1",2,IF($D$363="A",5,IF($D$363="B",8,11))))+E388/(0.92*1000),VLOOKUP(D388,'Estratos SCX - ISA'!$A$3:$M$107,IF($D$363="A1",2,IF($D$363="A",5,IF($D$363="B",8,11))))+E388/(0.92*1000))))),IF(OR($D$357="",$D$363=""),"",IF(OR(D388&gt;$D$364,E388&gt;$D$365),"Rev. Total. abona.",IF(D388="",IF(E388="","",E388/(0.92*1000)),IF(OR($D$357="SAN CRISTOBAL",$D$357="FLOREANA"),VLOOKUP(D388,'Estratos SCY - FLO'!$O$4:$S$108,IF($D$363="A1",2,IF($D$363="A",3,IF($D$363="B",4,5))))+E388/(0.92*1000),VLOOKUP(D388,'Estratos SCX - ISA'!$O$4:$S$108,IF($D$363="A1",2,IF($D$363="A",3,IF($D$363="B",4,5))))+E388/(0.92*1000)))))))</f>
        <v/>
      </c>
      <c r="G388" s="59" t="str">
        <f t="shared" si="53"/>
        <v/>
      </c>
      <c r="H388" s="183"/>
      <c r="I388" s="183"/>
      <c r="J388" s="59" t="str">
        <f>IF(OR(H388="",$D$10="",$N$10=""),"",IF($D$10="COBRE",VLOOKUP(CDV_PROY_BT!H388,FDV!$B$16:$E$24,IF(CDV_PROY_BT!$N$10="3F",3,4),FALSE),IF($D$10="ACS",VLOOKUP(CDV_PROY_BT!H388,FDV!$B$10:$E$15,IF(CDV_PROY_BT!$N$10="3F",3,4),FALSE),IF($D$10="5005 (PREENSAMBLADO)",VLOOKUP(CDV_PROY_BT!H388,FDV!$B$4:$E$9,IF(CDV_PROY_BT!$N$10="3F",3,4),FALSE),VLOOKUP(CDV_PROY_BT!H388,FDV!$B$25:$E$30,IF(CDV_PROY_BT!$N$10="3F",3,4),FALSE)))))</f>
        <v/>
      </c>
      <c r="K388" s="63" t="str">
        <f t="shared" si="52"/>
        <v/>
      </c>
      <c r="L388" s="62" t="str">
        <f t="shared" si="54"/>
        <v/>
      </c>
      <c r="M388" s="62" t="str">
        <f t="shared" si="55"/>
        <v/>
      </c>
      <c r="N388" s="155"/>
      <c r="U388" s="138">
        <f t="shared" si="56"/>
        <v>0</v>
      </c>
      <c r="V388" s="138">
        <f t="shared" si="57"/>
        <v>0</v>
      </c>
    </row>
    <row r="389" spans="1:22" ht="15" hidden="1">
      <c r="A389" s="167"/>
      <c r="B389" s="168"/>
      <c r="C389" s="169"/>
      <c r="D389" s="169"/>
      <c r="E389" s="170"/>
      <c r="F389" s="58" t="str">
        <f>IF($N$359="","",IF($N$359="INDUSTRIAL",IF(OR($D$357="",$D$363=""),"",IF(OR(D389&gt;$D$364,E389&gt;$D$365),"Rev. Total. abona.",IF(D389="",IF(E389="","",E389/(0.92*1000)),IF(OR($D$357="SAN CRISTOBAL",$D$357="FLOREANA"),VLOOKUP(D389,'Estratos SCY - FLO'!$A$4:$M$108,IF($D$363="A1",2,IF($D$363="A",5,IF($D$363="B",8,11))))+E389/(0.92*1000),VLOOKUP(D389,'Estratos SCX - ISA'!$A$3:$M$107,IF($D$363="A1",2,IF($D$363="A",5,IF($D$363="B",8,11))))+E389/(0.92*1000))))),IF(OR($D$357="",$D$363=""),"",IF(OR(D389&gt;$D$364,E389&gt;$D$365),"Rev. Total. abona.",IF(D389="",IF(E389="","",E389/(0.92*1000)),IF(OR($D$357="SAN CRISTOBAL",$D$357="FLOREANA"),VLOOKUP(D389,'Estratos SCY - FLO'!$O$4:$S$108,IF($D$363="A1",2,IF($D$363="A",3,IF($D$363="B",4,5))))+E389/(0.92*1000),VLOOKUP(D389,'Estratos SCX - ISA'!$O$4:$S$108,IF($D$363="A1",2,IF($D$363="A",3,IF($D$363="B",4,5))))+E389/(0.92*1000)))))))</f>
        <v/>
      </c>
      <c r="G389" s="59" t="str">
        <f t="shared" si="53"/>
        <v/>
      </c>
      <c r="H389" s="183"/>
      <c r="I389" s="183"/>
      <c r="J389" s="59" t="str">
        <f>IF(OR(H389="",$D$10="",$N$10=""),"",IF($D$10="COBRE",VLOOKUP(CDV_PROY_BT!H389,FDV!$B$16:$E$24,IF(CDV_PROY_BT!$N$10="3F",3,4),FALSE),IF($D$10="ACS",VLOOKUP(CDV_PROY_BT!H389,FDV!$B$10:$E$15,IF(CDV_PROY_BT!$N$10="3F",3,4),FALSE),IF($D$10="5005 (PREENSAMBLADO)",VLOOKUP(CDV_PROY_BT!H389,FDV!$B$4:$E$9,IF(CDV_PROY_BT!$N$10="3F",3,4),FALSE),VLOOKUP(CDV_PROY_BT!H389,FDV!$B$25:$E$30,IF(CDV_PROY_BT!$N$10="3F",3,4),FALSE)))))</f>
        <v/>
      </c>
      <c r="K389" s="63" t="str">
        <f t="shared" si="52"/>
        <v/>
      </c>
      <c r="L389" s="62" t="str">
        <f t="shared" si="54"/>
        <v/>
      </c>
      <c r="M389" s="62" t="str">
        <f t="shared" si="55"/>
        <v/>
      </c>
      <c r="N389" s="155"/>
      <c r="U389" s="138">
        <f t="shared" si="56"/>
        <v>0</v>
      </c>
      <c r="V389" s="138">
        <f t="shared" si="57"/>
        <v>0</v>
      </c>
    </row>
    <row r="390" spans="1:22" ht="15" hidden="1">
      <c r="A390" s="167"/>
      <c r="B390" s="168"/>
      <c r="C390" s="169"/>
      <c r="D390" s="169"/>
      <c r="E390" s="170"/>
      <c r="F390" s="58" t="str">
        <f>IF($N$359="","",IF($N$359="INDUSTRIAL",IF(OR($D$357="",$D$363=""),"",IF(OR(D390&gt;$D$364,E390&gt;$D$365),"Rev. Total. abona.",IF(D390="",IF(E390="","",E390/(0.92*1000)),IF(OR($D$357="SAN CRISTOBAL",$D$357="FLOREANA"),VLOOKUP(D390,'Estratos SCY - FLO'!$A$4:$M$108,IF($D$363="A1",2,IF($D$363="A",5,IF($D$363="B",8,11))))+E390/(0.92*1000),VLOOKUP(D390,'Estratos SCX - ISA'!$A$3:$M$107,IF($D$363="A1",2,IF($D$363="A",5,IF($D$363="B",8,11))))+E390/(0.92*1000))))),IF(OR($D$357="",$D$363=""),"",IF(OR(D390&gt;$D$364,E390&gt;$D$365),"Rev. Total. abona.",IF(D390="",IF(E390="","",E390/(0.92*1000)),IF(OR($D$357="SAN CRISTOBAL",$D$357="FLOREANA"),VLOOKUP(D390,'Estratos SCY - FLO'!$O$4:$S$108,IF($D$363="A1",2,IF($D$363="A",3,IF($D$363="B",4,5))))+E390/(0.92*1000),VLOOKUP(D390,'Estratos SCX - ISA'!$O$4:$S$108,IF($D$363="A1",2,IF($D$363="A",3,IF($D$363="B",4,5))))+E390/(0.92*1000)))))))</f>
        <v/>
      </c>
      <c r="G390" s="59" t="str">
        <f t="shared" si="53"/>
        <v/>
      </c>
      <c r="H390" s="183"/>
      <c r="I390" s="183"/>
      <c r="J390" s="59" t="str">
        <f>IF(OR(H390="",$D$10="",$N$10=""),"",IF($D$10="COBRE",VLOOKUP(CDV_PROY_BT!H390,FDV!$B$16:$E$24,IF(CDV_PROY_BT!$N$10="3F",3,4),FALSE),IF($D$10="ACS",VLOOKUP(CDV_PROY_BT!H390,FDV!$B$10:$E$15,IF(CDV_PROY_BT!$N$10="3F",3,4),FALSE),IF($D$10="5005 (PREENSAMBLADO)",VLOOKUP(CDV_PROY_BT!H390,FDV!$B$4:$E$9,IF(CDV_PROY_BT!$N$10="3F",3,4),FALSE),VLOOKUP(CDV_PROY_BT!H390,FDV!$B$25:$E$30,IF(CDV_PROY_BT!$N$10="3F",3,4),FALSE)))))</f>
        <v/>
      </c>
      <c r="K390" s="63" t="str">
        <f t="shared" si="52"/>
        <v/>
      </c>
      <c r="L390" s="62" t="str">
        <f t="shared" si="54"/>
        <v/>
      </c>
      <c r="M390" s="62" t="str">
        <f t="shared" si="55"/>
        <v/>
      </c>
      <c r="N390" s="155"/>
      <c r="U390" s="138">
        <f t="shared" si="56"/>
        <v>0</v>
      </c>
      <c r="V390" s="138">
        <f t="shared" si="57"/>
        <v>0</v>
      </c>
    </row>
    <row r="391" spans="1:22" ht="15" hidden="1">
      <c r="A391" s="167"/>
      <c r="B391" s="168"/>
      <c r="C391" s="169"/>
      <c r="D391" s="169"/>
      <c r="E391" s="170"/>
      <c r="F391" s="58" t="str">
        <f>IF($N$359="","",IF($N$359="INDUSTRIAL",IF(OR($D$357="",$D$363=""),"",IF(OR(D391&gt;$D$364,E391&gt;$D$365),"Rev. Total. abona.",IF(D391="",IF(E391="","",E391/(0.92*1000)),IF(OR($D$357="SAN CRISTOBAL",$D$357="FLOREANA"),VLOOKUP(D391,'Estratos SCY - FLO'!$A$4:$M$108,IF($D$363="A1",2,IF($D$363="A",5,IF($D$363="B",8,11))))+E391/(0.92*1000),VLOOKUP(D391,'Estratos SCX - ISA'!$A$3:$M$107,IF($D$363="A1",2,IF($D$363="A",5,IF($D$363="B",8,11))))+E391/(0.92*1000))))),IF(OR($D$357="",$D$363=""),"",IF(OR(D391&gt;$D$364,E391&gt;$D$365),"Rev. Total. abona.",IF(D391="",IF(E391="","",E391/(0.92*1000)),IF(OR($D$357="SAN CRISTOBAL",$D$357="FLOREANA"),VLOOKUP(D391,'Estratos SCY - FLO'!$O$4:$S$108,IF($D$363="A1",2,IF($D$363="A",3,IF($D$363="B",4,5))))+E391/(0.92*1000),VLOOKUP(D391,'Estratos SCX - ISA'!$O$4:$S$108,IF($D$363="A1",2,IF($D$363="A",3,IF($D$363="B",4,5))))+E391/(0.92*1000)))))))</f>
        <v/>
      </c>
      <c r="G391" s="59" t="str">
        <f t="shared" si="53"/>
        <v/>
      </c>
      <c r="H391" s="183"/>
      <c r="I391" s="183"/>
      <c r="J391" s="59" t="str">
        <f>IF(OR(H391="",$D$10="",$N$10=""),"",IF($D$10="COBRE",VLOOKUP(CDV_PROY_BT!H391,FDV!$B$16:$E$24,IF(CDV_PROY_BT!$N$10="3F",3,4),FALSE),IF($D$10="ACS",VLOOKUP(CDV_PROY_BT!H391,FDV!$B$10:$E$15,IF(CDV_PROY_BT!$N$10="3F",3,4),FALSE),IF($D$10="5005 (PREENSAMBLADO)",VLOOKUP(CDV_PROY_BT!H391,FDV!$B$4:$E$9,IF(CDV_PROY_BT!$N$10="3F",3,4),FALSE),VLOOKUP(CDV_PROY_BT!H391,FDV!$B$25:$E$30,IF(CDV_PROY_BT!$N$10="3F",3,4),FALSE)))))</f>
        <v/>
      </c>
      <c r="K391" s="63" t="str">
        <f t="shared" si="52"/>
        <v/>
      </c>
      <c r="L391" s="62" t="str">
        <f t="shared" si="54"/>
        <v/>
      </c>
      <c r="M391" s="62" t="str">
        <f t="shared" si="55"/>
        <v/>
      </c>
      <c r="N391" s="155"/>
      <c r="U391" s="138">
        <f t="shared" si="56"/>
        <v>0</v>
      </c>
      <c r="V391" s="138">
        <f t="shared" si="57"/>
        <v>0</v>
      </c>
    </row>
    <row r="392" spans="1:22" ht="15" hidden="1">
      <c r="A392" s="167"/>
      <c r="B392" s="168"/>
      <c r="C392" s="169"/>
      <c r="D392" s="169"/>
      <c r="E392" s="170"/>
      <c r="F392" s="58" t="str">
        <f>IF($N$359="","",IF($N$359="INDUSTRIAL",IF(OR($D$357="",$D$363=""),"",IF(OR(D392&gt;$D$364,E392&gt;$D$365),"Rev. Total. abona.",IF(D392="",IF(E392="","",E392/(0.92*1000)),IF(OR($D$357="SAN CRISTOBAL",$D$357="FLOREANA"),VLOOKUP(D392,'Estratos SCY - FLO'!$A$4:$M$108,IF($D$363="A1",2,IF($D$363="A",5,IF($D$363="B",8,11))))+E392/(0.92*1000),VLOOKUP(D392,'Estratos SCX - ISA'!$A$3:$M$107,IF($D$363="A1",2,IF($D$363="A",5,IF($D$363="B",8,11))))+E392/(0.92*1000))))),IF(OR($D$357="",$D$363=""),"",IF(OR(D392&gt;$D$364,E392&gt;$D$365),"Rev. Total. abona.",IF(D392="",IF(E392="","",E392/(0.92*1000)),IF(OR($D$357="SAN CRISTOBAL",$D$357="FLOREANA"),VLOOKUP(D392,'Estratos SCY - FLO'!$O$4:$S$108,IF($D$363="A1",2,IF($D$363="A",3,IF($D$363="B",4,5))))+E392/(0.92*1000),VLOOKUP(D392,'Estratos SCX - ISA'!$O$4:$S$108,IF($D$363="A1",2,IF($D$363="A",3,IF($D$363="B",4,5))))+E392/(0.92*1000)))))))</f>
        <v/>
      </c>
      <c r="G392" s="59" t="str">
        <f t="shared" si="53"/>
        <v/>
      </c>
      <c r="H392" s="183"/>
      <c r="I392" s="183"/>
      <c r="J392" s="59" t="str">
        <f>IF(OR(H392="",$D$10="",$N$10=""),"",IF($D$10="COBRE",VLOOKUP(CDV_PROY_BT!H392,FDV!$B$16:$E$24,IF(CDV_PROY_BT!$N$10="3F",3,4),FALSE),IF($D$10="ACS",VLOOKUP(CDV_PROY_BT!H392,FDV!$B$10:$E$15,IF(CDV_PROY_BT!$N$10="3F",3,4),FALSE),IF($D$10="5005 (PREENSAMBLADO)",VLOOKUP(CDV_PROY_BT!H392,FDV!$B$4:$E$9,IF(CDV_PROY_BT!$N$10="3F",3,4),FALSE),VLOOKUP(CDV_PROY_BT!H392,FDV!$B$25:$E$30,IF(CDV_PROY_BT!$N$10="3F",3,4),FALSE)))))</f>
        <v/>
      </c>
      <c r="K392" s="63" t="str">
        <f t="shared" si="52"/>
        <v/>
      </c>
      <c r="L392" s="62" t="str">
        <f t="shared" si="54"/>
        <v/>
      </c>
      <c r="M392" s="62" t="str">
        <f t="shared" si="55"/>
        <v/>
      </c>
      <c r="N392" s="155"/>
      <c r="U392" s="138">
        <f t="shared" si="56"/>
        <v>0</v>
      </c>
      <c r="V392" s="138">
        <f t="shared" si="57"/>
        <v>0</v>
      </c>
    </row>
    <row r="393" spans="1:22" ht="15" hidden="1">
      <c r="A393" s="167"/>
      <c r="B393" s="168"/>
      <c r="C393" s="169"/>
      <c r="D393" s="169"/>
      <c r="E393" s="170"/>
      <c r="F393" s="58" t="str">
        <f>IF($N$359="","",IF($N$359="INDUSTRIAL",IF(OR($D$357="",$D$363=""),"",IF(OR(D393&gt;$D$364,E393&gt;$D$365),"Rev. Total. abona.",IF(D393="",IF(E393="","",E393/(0.92*1000)),IF(OR($D$357="SAN CRISTOBAL",$D$357="FLOREANA"),VLOOKUP(D393,'Estratos SCY - FLO'!$A$4:$M$108,IF($D$363="A1",2,IF($D$363="A",5,IF($D$363="B",8,11))))+E393/(0.92*1000),VLOOKUP(D393,'Estratos SCX - ISA'!$A$3:$M$107,IF($D$363="A1",2,IF($D$363="A",5,IF($D$363="B",8,11))))+E393/(0.92*1000))))),IF(OR($D$357="",$D$363=""),"",IF(OR(D393&gt;$D$364,E393&gt;$D$365),"Rev. Total. abona.",IF(D393="",IF(E393="","",E393/(0.92*1000)),IF(OR($D$357="SAN CRISTOBAL",$D$357="FLOREANA"),VLOOKUP(D393,'Estratos SCY - FLO'!$O$4:$S$108,IF($D$363="A1",2,IF($D$363="A",3,IF($D$363="B",4,5))))+E393/(0.92*1000),VLOOKUP(D393,'Estratos SCX - ISA'!$O$4:$S$108,IF($D$363="A1",2,IF($D$363="A",3,IF($D$363="B",4,5))))+E393/(0.92*1000)))))))</f>
        <v/>
      </c>
      <c r="G393" s="59" t="str">
        <f t="shared" si="53"/>
        <v/>
      </c>
      <c r="H393" s="183"/>
      <c r="I393" s="183"/>
      <c r="J393" s="59" t="str">
        <f>IF(OR(H393="",$D$10="",$N$10=""),"",IF($D$10="COBRE",VLOOKUP(CDV_PROY_BT!H393,FDV!$B$16:$E$24,IF(CDV_PROY_BT!$N$10="3F",3,4),FALSE),IF($D$10="ACS",VLOOKUP(CDV_PROY_BT!H393,FDV!$B$10:$E$15,IF(CDV_PROY_BT!$N$10="3F",3,4),FALSE),IF($D$10="5005 (PREENSAMBLADO)",VLOOKUP(CDV_PROY_BT!H393,FDV!$B$4:$E$9,IF(CDV_PROY_BT!$N$10="3F",3,4),FALSE),VLOOKUP(CDV_PROY_BT!H393,FDV!$B$25:$E$30,IF(CDV_PROY_BT!$N$10="3F",3,4),FALSE)))))</f>
        <v/>
      </c>
      <c r="K393" s="63" t="str">
        <f t="shared" si="52"/>
        <v/>
      </c>
      <c r="L393" s="62" t="str">
        <f t="shared" si="54"/>
        <v/>
      </c>
      <c r="M393" s="62" t="str">
        <f t="shared" si="55"/>
        <v/>
      </c>
      <c r="N393" s="155"/>
      <c r="U393" s="138">
        <f t="shared" si="56"/>
        <v>0</v>
      </c>
      <c r="V393" s="138">
        <f t="shared" si="57"/>
        <v>0</v>
      </c>
    </row>
    <row r="394" spans="1:22" ht="15" hidden="1">
      <c r="A394" s="167"/>
      <c r="B394" s="168"/>
      <c r="C394" s="169"/>
      <c r="D394" s="169"/>
      <c r="E394" s="170"/>
      <c r="F394" s="58" t="str">
        <f>IF($N$359="","",IF($N$359="INDUSTRIAL",IF(OR($D$357="",$D$363=""),"",IF(OR(D394&gt;$D$364,E394&gt;$D$365),"Rev. Total. abona.",IF(D394="",IF(E394="","",E394/(0.92*1000)),IF(OR($D$357="SAN CRISTOBAL",$D$357="FLOREANA"),VLOOKUP(D394,'Estratos SCY - FLO'!$A$4:$M$108,IF($D$363="A1",2,IF($D$363="A",5,IF($D$363="B",8,11))))+E394/(0.92*1000),VLOOKUP(D394,'Estratos SCX - ISA'!$A$3:$M$107,IF($D$363="A1",2,IF($D$363="A",5,IF($D$363="B",8,11))))+E394/(0.92*1000))))),IF(OR($D$357="",$D$363=""),"",IF(OR(D394&gt;$D$364,E394&gt;$D$365),"Rev. Total. abona.",IF(D394="",IF(E394="","",E394/(0.92*1000)),IF(OR($D$357="SAN CRISTOBAL",$D$357="FLOREANA"),VLOOKUP(D394,'Estratos SCY - FLO'!$O$4:$S$108,IF($D$363="A1",2,IF($D$363="A",3,IF($D$363="B",4,5))))+E394/(0.92*1000),VLOOKUP(D394,'Estratos SCX - ISA'!$O$4:$S$108,IF($D$363="A1",2,IF($D$363="A",3,IF($D$363="B",4,5))))+E394/(0.92*1000)))))))</f>
        <v/>
      </c>
      <c r="G394" s="59" t="str">
        <f t="shared" si="53"/>
        <v/>
      </c>
      <c r="H394" s="183"/>
      <c r="I394" s="183"/>
      <c r="J394" s="59" t="str">
        <f>IF(OR(H394="",$D$10="",$N$10=""),"",IF($D$10="COBRE",VLOOKUP(CDV_PROY_BT!H394,FDV!$B$16:$E$24,IF(CDV_PROY_BT!$N$10="3F",3,4),FALSE),IF($D$10="ACS",VLOOKUP(CDV_PROY_BT!H394,FDV!$B$10:$E$15,IF(CDV_PROY_BT!$N$10="3F",3,4),FALSE),IF($D$10="5005 (PREENSAMBLADO)",VLOOKUP(CDV_PROY_BT!H394,FDV!$B$4:$E$9,IF(CDV_PROY_BT!$N$10="3F",3,4),FALSE),VLOOKUP(CDV_PROY_BT!H394,FDV!$B$25:$E$30,IF(CDV_PROY_BT!$N$10="3F",3,4),FALSE)))))</f>
        <v/>
      </c>
      <c r="K394" s="63" t="str">
        <f t="shared" si="52"/>
        <v/>
      </c>
      <c r="L394" s="62" t="str">
        <f t="shared" si="54"/>
        <v/>
      </c>
      <c r="M394" s="62" t="str">
        <f t="shared" si="55"/>
        <v/>
      </c>
      <c r="N394" s="155"/>
      <c r="U394" s="138">
        <f t="shared" si="56"/>
        <v>0</v>
      </c>
      <c r="V394" s="138">
        <f t="shared" si="57"/>
        <v>0</v>
      </c>
    </row>
    <row r="395" spans="1:22" ht="15" hidden="1">
      <c r="A395" s="167"/>
      <c r="B395" s="168"/>
      <c r="C395" s="169"/>
      <c r="D395" s="169"/>
      <c r="E395" s="170"/>
      <c r="F395" s="58" t="str">
        <f>IF($N$359="","",IF($N$359="INDUSTRIAL",IF(OR($D$357="",$D$363=""),"",IF(OR(D395&gt;$D$364,E395&gt;$D$365),"Rev. Total. abona.",IF(D395="",IF(E395="","",E395/(0.92*1000)),IF(OR($D$357="SAN CRISTOBAL",$D$357="FLOREANA"),VLOOKUP(D395,'Estratos SCY - FLO'!$A$4:$M$108,IF($D$363="A1",2,IF($D$363="A",5,IF($D$363="B",8,11))))+E395/(0.92*1000),VLOOKUP(D395,'Estratos SCX - ISA'!$A$3:$M$107,IF($D$363="A1",2,IF($D$363="A",5,IF($D$363="B",8,11))))+E395/(0.92*1000))))),IF(OR($D$357="",$D$363=""),"",IF(OR(D395&gt;$D$364,E395&gt;$D$365),"Rev. Total. abona.",IF(D395="",IF(E395="","",E395/(0.92*1000)),IF(OR($D$357="SAN CRISTOBAL",$D$357="FLOREANA"),VLOOKUP(D395,'Estratos SCY - FLO'!$O$4:$S$108,IF($D$363="A1",2,IF($D$363="A",3,IF($D$363="B",4,5))))+E395/(0.92*1000),VLOOKUP(D395,'Estratos SCX - ISA'!$O$4:$S$108,IF($D$363="A1",2,IF($D$363="A",3,IF($D$363="B",4,5))))+E395/(0.92*1000)))))))</f>
        <v/>
      </c>
      <c r="G395" s="59" t="str">
        <f t="shared" si="53"/>
        <v/>
      </c>
      <c r="H395" s="183"/>
      <c r="I395" s="183"/>
      <c r="J395" s="59" t="str">
        <f>IF(OR(H395="",$D$10="",$N$10=""),"",IF($D$10="COBRE",VLOOKUP(CDV_PROY_BT!H395,FDV!$B$16:$E$24,IF(CDV_PROY_BT!$N$10="3F",3,4),FALSE),IF($D$10="ACS",VLOOKUP(CDV_PROY_BT!H395,FDV!$B$10:$E$15,IF(CDV_PROY_BT!$N$10="3F",3,4),FALSE),IF($D$10="5005 (PREENSAMBLADO)",VLOOKUP(CDV_PROY_BT!H395,FDV!$B$4:$E$9,IF(CDV_PROY_BT!$N$10="3F",3,4),FALSE),VLOOKUP(CDV_PROY_BT!H395,FDV!$B$25:$E$30,IF(CDV_PROY_BT!$N$10="3F",3,4),FALSE)))))</f>
        <v/>
      </c>
      <c r="K395" s="63" t="str">
        <f t="shared" si="52"/>
        <v/>
      </c>
      <c r="L395" s="62" t="str">
        <f t="shared" si="54"/>
        <v/>
      </c>
      <c r="M395" s="62" t="str">
        <f t="shared" si="55"/>
        <v/>
      </c>
      <c r="N395" s="155"/>
      <c r="U395" s="138">
        <f t="shared" si="56"/>
        <v>0</v>
      </c>
      <c r="V395" s="138">
        <f t="shared" si="57"/>
        <v>0</v>
      </c>
    </row>
    <row r="396" spans="1:22" ht="15" hidden="1">
      <c r="A396" s="167"/>
      <c r="B396" s="168"/>
      <c r="C396" s="169"/>
      <c r="D396" s="169"/>
      <c r="E396" s="170"/>
      <c r="F396" s="58" t="str">
        <f>IF($N$359="","",IF($N$359="INDUSTRIAL",IF(OR($D$357="",$D$363=""),"",IF(OR(D396&gt;$D$364,E396&gt;$D$365),"Rev. Total. abona.",IF(D396="",IF(E396="","",E396/(0.92*1000)),IF(OR($D$357="SAN CRISTOBAL",$D$357="FLOREANA"),VLOOKUP(D396,'Estratos SCY - FLO'!$A$4:$M$108,IF($D$363="A1",2,IF($D$363="A",5,IF($D$363="B",8,11))))+E396/(0.92*1000),VLOOKUP(D396,'Estratos SCX - ISA'!$A$3:$M$107,IF($D$363="A1",2,IF($D$363="A",5,IF($D$363="B",8,11))))+E396/(0.92*1000))))),IF(OR($D$357="",$D$363=""),"",IF(OR(D396&gt;$D$364,E396&gt;$D$365),"Rev. Total. abona.",IF(D396="",IF(E396="","",E396/(0.92*1000)),IF(OR($D$357="SAN CRISTOBAL",$D$357="FLOREANA"),VLOOKUP(D396,'Estratos SCY - FLO'!$O$4:$S$108,IF($D$363="A1",2,IF($D$363="A",3,IF($D$363="B",4,5))))+E396/(0.92*1000),VLOOKUP(D396,'Estratos SCX - ISA'!$O$4:$S$108,IF($D$363="A1",2,IF($D$363="A",3,IF($D$363="B",4,5))))+E396/(0.92*1000)))))))</f>
        <v/>
      </c>
      <c r="G396" s="59" t="str">
        <f t="shared" si="53"/>
        <v/>
      </c>
      <c r="H396" s="183"/>
      <c r="I396" s="183"/>
      <c r="J396" s="59" t="str">
        <f>IF(OR(H396="",$D$10="",$N$10=""),"",IF($D$10="COBRE",VLOOKUP(CDV_PROY_BT!H396,FDV!$B$16:$E$24,IF(CDV_PROY_BT!$N$10="3F",3,4),FALSE),IF($D$10="ACS",VLOOKUP(CDV_PROY_BT!H396,FDV!$B$10:$E$15,IF(CDV_PROY_BT!$N$10="3F",3,4),FALSE),IF($D$10="5005 (PREENSAMBLADO)",VLOOKUP(CDV_PROY_BT!H396,FDV!$B$4:$E$9,IF(CDV_PROY_BT!$N$10="3F",3,4),FALSE),VLOOKUP(CDV_PROY_BT!H396,FDV!$B$25:$E$30,IF(CDV_PROY_BT!$N$10="3F",3,4),FALSE)))))</f>
        <v/>
      </c>
      <c r="K396" s="63" t="str">
        <f t="shared" si="52"/>
        <v/>
      </c>
      <c r="L396" s="62" t="str">
        <f t="shared" si="54"/>
        <v/>
      </c>
      <c r="M396" s="62" t="str">
        <f t="shared" si="55"/>
        <v/>
      </c>
      <c r="N396" s="155"/>
      <c r="U396" s="138">
        <f t="shared" si="56"/>
        <v>0</v>
      </c>
      <c r="V396" s="138">
        <f t="shared" si="57"/>
        <v>0</v>
      </c>
    </row>
    <row r="397" spans="1:22" ht="15" hidden="1">
      <c r="A397" s="167"/>
      <c r="B397" s="168"/>
      <c r="C397" s="169"/>
      <c r="D397" s="169"/>
      <c r="E397" s="170"/>
      <c r="F397" s="58" t="str">
        <f>IF($N$359="","",IF($N$359="INDUSTRIAL",IF(OR($D$357="",$D$363=""),"",IF(OR(D397&gt;$D$364,E397&gt;$D$365),"Rev. Total. abona.",IF(D397="",IF(E397="","",E397/(0.92*1000)),IF(OR($D$357="SAN CRISTOBAL",$D$357="FLOREANA"),VLOOKUP(D397,'Estratos SCY - FLO'!$A$4:$M$108,IF($D$363="A1",2,IF($D$363="A",5,IF($D$363="B",8,11))))+E397/(0.92*1000),VLOOKUP(D397,'Estratos SCX - ISA'!$A$3:$M$107,IF($D$363="A1",2,IF($D$363="A",5,IF($D$363="B",8,11))))+E397/(0.92*1000))))),IF(OR($D$357="",$D$363=""),"",IF(OR(D397&gt;$D$364,E397&gt;$D$365),"Rev. Total. abona.",IF(D397="",IF(E397="","",E397/(0.92*1000)),IF(OR($D$357="SAN CRISTOBAL",$D$357="FLOREANA"),VLOOKUP(D397,'Estratos SCY - FLO'!$O$4:$S$108,IF($D$363="A1",2,IF($D$363="A",3,IF($D$363="B",4,5))))+E397/(0.92*1000),VLOOKUP(D397,'Estratos SCX - ISA'!$O$4:$S$108,IF($D$363="A1",2,IF($D$363="A",3,IF($D$363="B",4,5))))+E397/(0.92*1000)))))))</f>
        <v/>
      </c>
      <c r="G397" s="59" t="str">
        <f t="shared" si="53"/>
        <v/>
      </c>
      <c r="H397" s="183"/>
      <c r="I397" s="183"/>
      <c r="J397" s="59" t="str">
        <f>IF(OR(H397="",$D$10="",$N$10=""),"",IF($D$10="COBRE",VLOOKUP(CDV_PROY_BT!H397,FDV!$B$16:$E$24,IF(CDV_PROY_BT!$N$10="3F",3,4),FALSE),IF($D$10="ACS",VLOOKUP(CDV_PROY_BT!H397,FDV!$B$10:$E$15,IF(CDV_PROY_BT!$N$10="3F",3,4),FALSE),IF($D$10="5005 (PREENSAMBLADO)",VLOOKUP(CDV_PROY_BT!H397,FDV!$B$4:$E$9,IF(CDV_PROY_BT!$N$10="3F",3,4),FALSE),VLOOKUP(CDV_PROY_BT!H397,FDV!$B$25:$E$30,IF(CDV_PROY_BT!$N$10="3F",3,4),FALSE)))))</f>
        <v/>
      </c>
      <c r="K397" s="63" t="str">
        <f t="shared" si="52"/>
        <v/>
      </c>
      <c r="L397" s="62" t="str">
        <f t="shared" si="54"/>
        <v/>
      </c>
      <c r="M397" s="62" t="str">
        <f t="shared" si="55"/>
        <v/>
      </c>
      <c r="N397" s="155"/>
      <c r="U397" s="138">
        <f t="shared" si="56"/>
        <v>0</v>
      </c>
      <c r="V397" s="138">
        <f t="shared" si="57"/>
        <v>0</v>
      </c>
    </row>
    <row r="398" spans="1:22" ht="15" hidden="1">
      <c r="A398" s="167"/>
      <c r="B398" s="168"/>
      <c r="C398" s="169"/>
      <c r="D398" s="169"/>
      <c r="E398" s="170"/>
      <c r="F398" s="58" t="str">
        <f>IF($N$359="","",IF($N$359="INDUSTRIAL",IF(OR($D$357="",$D$363=""),"",IF(OR(D398&gt;$D$364,E398&gt;$D$365),"Rev. Total. abona.",IF(D398="",IF(E398="","",E398/(0.92*1000)),IF(OR($D$357="SAN CRISTOBAL",$D$357="FLOREANA"),VLOOKUP(D398,'Estratos SCY - FLO'!$A$4:$M$108,IF($D$363="A1",2,IF($D$363="A",5,IF($D$363="B",8,11))))+E398/(0.92*1000),VLOOKUP(D398,'Estratos SCX - ISA'!$A$3:$M$107,IF($D$363="A1",2,IF($D$363="A",5,IF($D$363="B",8,11))))+E398/(0.92*1000))))),IF(OR($D$357="",$D$363=""),"",IF(OR(D398&gt;$D$364,E398&gt;$D$365),"Rev. Total. abona.",IF(D398="",IF(E398="","",E398/(0.92*1000)),IF(OR($D$357="SAN CRISTOBAL",$D$357="FLOREANA"),VLOOKUP(D398,'Estratos SCY - FLO'!$O$4:$S$108,IF($D$363="A1",2,IF($D$363="A",3,IF($D$363="B",4,5))))+E398/(0.92*1000),VLOOKUP(D398,'Estratos SCX - ISA'!$O$4:$S$108,IF($D$363="A1",2,IF($D$363="A",3,IF($D$363="B",4,5))))+E398/(0.92*1000)))))))</f>
        <v/>
      </c>
      <c r="G398" s="59" t="str">
        <f t="shared" si="53"/>
        <v/>
      </c>
      <c r="H398" s="183"/>
      <c r="I398" s="183"/>
      <c r="J398" s="59" t="str">
        <f>IF(OR(H398="",$D$10="",$N$10=""),"",IF($D$10="COBRE",VLOOKUP(CDV_PROY_BT!H398,FDV!$B$16:$E$24,IF(CDV_PROY_BT!$N$10="3F",3,4),FALSE),IF($D$10="ACS",VLOOKUP(CDV_PROY_BT!H398,FDV!$B$10:$E$15,IF(CDV_PROY_BT!$N$10="3F",3,4),FALSE),IF($D$10="5005 (PREENSAMBLADO)",VLOOKUP(CDV_PROY_BT!H398,FDV!$B$4:$E$9,IF(CDV_PROY_BT!$N$10="3F",3,4),FALSE),VLOOKUP(CDV_PROY_BT!H398,FDV!$B$25:$E$30,IF(CDV_PROY_BT!$N$10="3F",3,4),FALSE)))))</f>
        <v/>
      </c>
      <c r="K398" s="63" t="str">
        <f t="shared" si="52"/>
        <v/>
      </c>
      <c r="L398" s="62" t="str">
        <f t="shared" si="54"/>
        <v/>
      </c>
      <c r="M398" s="62" t="str">
        <f t="shared" si="55"/>
        <v/>
      </c>
      <c r="N398" s="155"/>
      <c r="U398" s="138">
        <f t="shared" si="56"/>
        <v>0</v>
      </c>
      <c r="V398" s="138">
        <f t="shared" si="57"/>
        <v>0</v>
      </c>
    </row>
    <row r="399" spans="1:22" ht="15" hidden="1">
      <c r="A399" s="167"/>
      <c r="B399" s="168"/>
      <c r="C399" s="169"/>
      <c r="D399" s="169"/>
      <c r="E399" s="170"/>
      <c r="F399" s="58" t="str">
        <f>IF($N$359="","",IF($N$359="INDUSTRIAL",IF(OR($D$357="",$D$363=""),"",IF(OR(D399&gt;$D$364,E399&gt;$D$365),"Rev. Total. abona.",IF(D399="",IF(E399="","",E399/(0.92*1000)),IF(OR($D$357="SAN CRISTOBAL",$D$357="FLOREANA"),VLOOKUP(D399,'Estratos SCY - FLO'!$A$4:$M$108,IF($D$363="A1",2,IF($D$363="A",5,IF($D$363="B",8,11))))+E399/(0.92*1000),VLOOKUP(D399,'Estratos SCX - ISA'!$A$3:$M$107,IF($D$363="A1",2,IF($D$363="A",5,IF($D$363="B",8,11))))+E399/(0.92*1000))))),IF(OR($D$357="",$D$363=""),"",IF(OR(D399&gt;$D$364,E399&gt;$D$365),"Rev. Total. abona.",IF(D399="",IF(E399="","",E399/(0.92*1000)),IF(OR($D$357="SAN CRISTOBAL",$D$357="FLOREANA"),VLOOKUP(D399,'Estratos SCY - FLO'!$O$4:$S$108,IF($D$363="A1",2,IF($D$363="A",3,IF($D$363="B",4,5))))+E399/(0.92*1000),VLOOKUP(D399,'Estratos SCX - ISA'!$O$4:$S$108,IF($D$363="A1",2,IF($D$363="A",3,IF($D$363="B",4,5))))+E399/(0.92*1000)))))))</f>
        <v/>
      </c>
      <c r="G399" s="59" t="str">
        <f t="shared" si="53"/>
        <v/>
      </c>
      <c r="H399" s="183"/>
      <c r="I399" s="183"/>
      <c r="J399" s="59" t="str">
        <f>IF(OR(H399="",$D$10="",$N$10=""),"",IF($D$10="COBRE",VLOOKUP(CDV_PROY_BT!H399,FDV!$B$16:$E$24,IF(CDV_PROY_BT!$N$10="3F",3,4),FALSE),IF($D$10="ACS",VLOOKUP(CDV_PROY_BT!H399,FDV!$B$10:$E$15,IF(CDV_PROY_BT!$N$10="3F",3,4),FALSE),IF($D$10="5005 (PREENSAMBLADO)",VLOOKUP(CDV_PROY_BT!H399,FDV!$B$4:$E$9,IF(CDV_PROY_BT!$N$10="3F",3,4),FALSE),VLOOKUP(CDV_PROY_BT!H399,FDV!$B$25:$E$30,IF(CDV_PROY_BT!$N$10="3F",3,4),FALSE)))))</f>
        <v/>
      </c>
      <c r="K399" s="63" t="str">
        <f t="shared" si="52"/>
        <v/>
      </c>
      <c r="L399" s="62" t="str">
        <f t="shared" si="54"/>
        <v/>
      </c>
      <c r="M399" s="62" t="str">
        <f t="shared" si="55"/>
        <v/>
      </c>
      <c r="N399" s="156"/>
      <c r="U399" s="138">
        <f t="shared" si="56"/>
        <v>0</v>
      </c>
      <c r="V399" s="138">
        <f t="shared" si="57"/>
        <v>0</v>
      </c>
    </row>
    <row r="400" spans="1:22" ht="15.75" hidden="1" thickBot="1">
      <c r="A400" s="178"/>
      <c r="B400" s="179"/>
      <c r="C400" s="180"/>
      <c r="D400" s="180"/>
      <c r="E400" s="181"/>
      <c r="F400" s="68" t="str">
        <f>IF($N$359="","",IF($N$359="INDUSTRIAL",IF(OR($D$357="",$D$363=""),"",IF(OR(D400&gt;$D$364,E400&gt;$D$365),"Rev. Total. abona.",IF(D400="",IF(E400="","",E400/(0.92*1000)),IF(OR($D$357="SAN CRISTOBAL",$D$357="FLOREANA"),VLOOKUP(D400,'Estratos SCY - FLO'!$A$4:$M$108,IF($D$363="A1",2,IF($D$363="A",5,IF($D$363="B",8,11))))+E400/(0.92*1000),VLOOKUP(D400,'Estratos SCX - ISA'!$A$3:$M$107,IF($D$363="A1",2,IF($D$363="A",5,IF($D$363="B",8,11))))+E400/(0.92*1000))))),IF(OR($D$357="",$D$363=""),"",IF(OR(D400&gt;$D$364,E400&gt;$D$365),"Rev. Total. abona.",IF(D400="",IF(E400="","",E400/(0.92*1000)),IF(OR($D$357="SAN CRISTOBAL",$D$357="FLOREANA"),VLOOKUP(D400,'Estratos SCY - FLO'!$O$4:$S$108,IF($D$363="A1",2,IF($D$363="A",3,IF($D$363="B",4,5))))+E400/(0.92*1000),VLOOKUP(D400,'Estratos SCX - ISA'!$O$4:$S$108,IF($D$363="A1",2,IF($D$363="A",3,IF($D$363="B",4,5))))+E400/(0.92*1000)))))))</f>
        <v/>
      </c>
      <c r="G400" s="69" t="str">
        <f t="shared" si="53"/>
        <v/>
      </c>
      <c r="H400" s="184"/>
      <c r="I400" s="184"/>
      <c r="J400" s="69" t="str">
        <f>IF(OR(H400="",$D$10="",$N$10=""),"",IF($D$10="COBRE",VLOOKUP(CDV_PROY_BT!H400,FDV!$B$16:$E$24,IF(CDV_PROY_BT!$N$10="3F",3,4),FALSE),IF($D$10="ACS",VLOOKUP(CDV_PROY_BT!H400,FDV!$B$10:$E$15,IF(CDV_PROY_BT!$N$10="3F",3,4),FALSE),IF($D$10="5005 (PREENSAMBLADO)",VLOOKUP(CDV_PROY_BT!H400,FDV!$B$4:$E$9,IF(CDV_PROY_BT!$N$10="3F",3,4),FALSE),VLOOKUP(CDV_PROY_BT!H400,FDV!$B$25:$E$30,IF(CDV_PROY_BT!$N$10="3F",3,4),FALSE)))))</f>
        <v/>
      </c>
      <c r="K400" s="65" t="str">
        <f t="shared" si="52"/>
        <v/>
      </c>
      <c r="L400" s="64" t="str">
        <f t="shared" si="54"/>
        <v/>
      </c>
      <c r="M400" s="64" t="str">
        <f t="shared" si="55"/>
        <v/>
      </c>
      <c r="N400" s="157"/>
      <c r="U400" s="138">
        <f t="shared" si="56"/>
        <v>0</v>
      </c>
      <c r="V400" s="138">
        <f t="shared" si="57"/>
        <v>0</v>
      </c>
    </row>
    <row r="401" spans="1:22" ht="15.75" hidden="1" thickBot="1">
      <c r="A401" s="143"/>
      <c r="B401" s="67" t="str">
        <f>IF(N370="","",N370)</f>
        <v>P26</v>
      </c>
      <c r="C401" s="144"/>
      <c r="D401" s="144"/>
      <c r="E401" s="145"/>
      <c r="F401" s="68"/>
      <c r="G401" s="69" t="str">
        <f t="shared" si="53"/>
        <v/>
      </c>
      <c r="H401" s="146" t="e">
        <f>IF(B401="","",IF(B401-A401=1,H400,""))</f>
        <v>#VALUE!</v>
      </c>
      <c r="I401" s="146"/>
      <c r="J401" s="70" t="e">
        <f>IF(OR(H401="",$D$10="",$N$10=""),"",IF($D$10="COBRE",VLOOKUP(CDV_PROY_BT!H401,FDV!$B$16:$E$24,IF(CDV_PROY_BT!$N$10="3F",3,4),FALSE),IF($D$10="ACS",VLOOKUP(CDV_PROY_BT!H401,FDV!$B$10:$E$15,IF(CDV_PROY_BT!$N$10="3F",3,4),FALSE),IF($D$10="5005 (PREENSAMBLADO)",VLOOKUP(CDV_PROY_BT!H401,FDV!$B$4:$E$9,IF(CDV_PROY_BT!$N$10="3F",3,4),FALSE),VLOOKUP(CDV_PROY_BT!H401,FDV!$B$25:$E$30,IF(CDV_PROY_BT!$N$10="3F",3,4),FALSE)))))</f>
        <v>#VALUE!</v>
      </c>
      <c r="K401" s="71" t="str">
        <f t="shared" si="52"/>
        <v/>
      </c>
      <c r="L401" s="68" t="str">
        <f aca="true" t="shared" si="58" ref="L401">IF(C401="","",ROUND(K401/J401,2))</f>
        <v/>
      </c>
      <c r="M401" s="72">
        <v>0</v>
      </c>
      <c r="N401" s="66"/>
      <c r="U401" s="138">
        <f aca="true" t="shared" si="59" ref="U401:U402">+IF(D401&gt;0,C401,0)</f>
        <v>0</v>
      </c>
      <c r="V401" s="138">
        <f aca="true" t="shared" si="60" ref="V401:V402">IF(C401="",0,C401*G401)</f>
        <v>0</v>
      </c>
    </row>
    <row r="402" spans="1:22" ht="15.75" hidden="1" thickBot="1">
      <c r="A402" s="73" t="s">
        <v>113</v>
      </c>
      <c r="B402" s="74"/>
      <c r="C402" s="75"/>
      <c r="D402" s="75"/>
      <c r="E402" s="76"/>
      <c r="F402" s="77"/>
      <c r="G402" s="78"/>
      <c r="H402" s="79"/>
      <c r="I402" s="79"/>
      <c r="J402" s="78"/>
      <c r="K402" s="121"/>
      <c r="L402" s="121"/>
      <c r="M402" s="128"/>
      <c r="N402" s="240"/>
      <c r="U402" s="138">
        <f t="shared" si="59"/>
        <v>0</v>
      </c>
      <c r="V402" s="138">
        <f t="shared" si="60"/>
        <v>0</v>
      </c>
    </row>
    <row r="403" spans="1:14" ht="15.75" hidden="1" thickBot="1">
      <c r="A403" s="93" t="s">
        <v>96</v>
      </c>
      <c r="B403" s="94">
        <f>+ROUND(SUMIF(H374:H400,"4/0",V374:V402)*1.015,0)</f>
        <v>0</v>
      </c>
      <c r="C403" s="93" t="s">
        <v>97</v>
      </c>
      <c r="D403" s="94">
        <f>ROUND((SUMIF(H374:H400,"3/0",V374:V402))*1.015,0)</f>
        <v>0</v>
      </c>
      <c r="E403" s="82" t="s">
        <v>95</v>
      </c>
      <c r="F403" s="81">
        <f>ROUND((SUMIF(H374:H400,"2/0",V374:V402))*1.015,0)</f>
        <v>0</v>
      </c>
      <c r="G403" s="80" t="s">
        <v>57</v>
      </c>
      <c r="H403" s="81">
        <f>ROUND((SUMIF(H374:H400,"1/0",V374:V402))*1.015,0)</f>
        <v>116</v>
      </c>
      <c r="I403" s="93" t="s">
        <v>58</v>
      </c>
      <c r="J403" s="94">
        <f>ROUND((SUMIF(H374:H400,"2",V374:V402))*1.015,0)</f>
        <v>23</v>
      </c>
      <c r="K403" s="147"/>
      <c r="L403" s="91"/>
      <c r="M403" s="92"/>
      <c r="N403" s="241"/>
    </row>
    <row r="404" spans="1:14" ht="15.75" hidden="1" thickBot="1">
      <c r="A404" s="119" t="s">
        <v>107</v>
      </c>
      <c r="B404" s="92"/>
      <c r="C404" s="91"/>
      <c r="D404" s="92"/>
      <c r="E404" s="91"/>
      <c r="F404" s="92"/>
      <c r="G404" s="91"/>
      <c r="H404" s="92"/>
      <c r="I404" s="92"/>
      <c r="J404" s="91"/>
      <c r="K404" s="92"/>
      <c r="L404" s="91"/>
      <c r="M404" s="92"/>
      <c r="N404" s="241"/>
    </row>
    <row r="405" spans="1:14" ht="15.75" hidden="1" thickBot="1">
      <c r="A405" s="93" t="s">
        <v>96</v>
      </c>
      <c r="B405" s="94">
        <f>+ROUND(SUMIF(I374:I400,"4/0",U374:U402)*1.015,0)</f>
        <v>0</v>
      </c>
      <c r="C405" s="93" t="s">
        <v>97</v>
      </c>
      <c r="D405" s="94">
        <f>ROUND((SUMIF(I374:I400,"3/0",U374:U402))*1.015,0)</f>
        <v>0</v>
      </c>
      <c r="E405" s="93" t="s">
        <v>95</v>
      </c>
      <c r="F405" s="94">
        <f>ROUND((SUMIF(I374:I400,"2/0",U374:U402))*1.015,0)</f>
        <v>0</v>
      </c>
      <c r="G405" s="93" t="s">
        <v>57</v>
      </c>
      <c r="H405" s="94">
        <f>ROUND((SUMIF(I374:I400,"1/0",U374:U402))*1.015,0)</f>
        <v>116</v>
      </c>
      <c r="I405" s="93" t="s">
        <v>58</v>
      </c>
      <c r="J405" s="94">
        <f>ROUND((SUMIF(I374:I400,"2",U374:U402))*1.015,0)</f>
        <v>23</v>
      </c>
      <c r="L405" s="91"/>
      <c r="M405" s="92"/>
      <c r="N405" s="241"/>
    </row>
    <row r="406" spans="1:14" ht="15.75" hidden="1" thickBot="1">
      <c r="A406" s="244" t="s">
        <v>123</v>
      </c>
      <c r="B406" s="244"/>
      <c r="C406" s="244"/>
      <c r="D406" s="21">
        <f>IF(N361="","",SUM(C374:C400))</f>
        <v>137</v>
      </c>
      <c r="E406" s="28" t="s">
        <v>59</v>
      </c>
      <c r="G406" s="21"/>
      <c r="H406" s="21"/>
      <c r="I406" s="21"/>
      <c r="J406" s="21"/>
      <c r="K406" s="21"/>
      <c r="L406" s="21"/>
      <c r="M406" s="23"/>
      <c r="N406" s="83" t="s">
        <v>80</v>
      </c>
    </row>
    <row r="407" spans="1:14" ht="15" hidden="1">
      <c r="A407" s="36" t="s">
        <v>60</v>
      </c>
      <c r="B407" s="238"/>
      <c r="C407" s="238"/>
      <c r="D407" s="238"/>
      <c r="E407" s="238"/>
      <c r="F407" s="238"/>
      <c r="G407" s="238"/>
      <c r="H407" s="238"/>
      <c r="I407" s="238"/>
      <c r="J407" s="238"/>
      <c r="K407" s="238"/>
      <c r="L407" s="238"/>
      <c r="M407" s="239"/>
      <c r="N407" s="84" t="s">
        <v>61</v>
      </c>
    </row>
    <row r="408" spans="1:14" ht="15.75" hidden="1" thickBot="1">
      <c r="A408" s="148"/>
      <c r="B408" s="242"/>
      <c r="C408" s="242"/>
      <c r="D408" s="242"/>
      <c r="E408" s="242"/>
      <c r="F408" s="242"/>
      <c r="G408" s="242"/>
      <c r="H408" s="242"/>
      <c r="I408" s="242"/>
      <c r="J408" s="242"/>
      <c r="K408" s="242"/>
      <c r="L408" s="242"/>
      <c r="M408" s="243"/>
      <c r="N408" s="85">
        <f>MAX(N374:N400)</f>
        <v>6.09</v>
      </c>
    </row>
    <row r="409" ht="15.75" hidden="1" thickBot="1"/>
    <row r="410" spans="1:14" ht="15.75" hidden="1" thickBot="1">
      <c r="A410" s="18"/>
      <c r="B410" s="18"/>
      <c r="C410" s="19"/>
      <c r="D410" s="19"/>
      <c r="E410" s="19"/>
      <c r="F410" s="20"/>
      <c r="G410" s="18"/>
      <c r="H410" s="18"/>
      <c r="I410" s="18"/>
      <c r="J410" s="19"/>
      <c r="K410" s="18"/>
      <c r="L410" s="18"/>
      <c r="M410" s="131" t="s">
        <v>122</v>
      </c>
      <c r="N410" s="161" t="s">
        <v>212</v>
      </c>
    </row>
    <row r="411" spans="1:14" ht="18" hidden="1">
      <c r="A411" s="245" t="s">
        <v>62</v>
      </c>
      <c r="B411" s="245"/>
      <c r="C411" s="245"/>
      <c r="D411" s="245"/>
      <c r="E411" s="245"/>
      <c r="F411" s="245"/>
      <c r="G411" s="245"/>
      <c r="H411" s="245"/>
      <c r="I411" s="245"/>
      <c r="J411" s="245"/>
      <c r="K411" s="245"/>
      <c r="L411" s="245"/>
      <c r="M411" s="245"/>
      <c r="N411" s="245"/>
    </row>
    <row r="412" spans="1:14" ht="18" hidden="1">
      <c r="A412" s="192"/>
      <c r="B412" s="192"/>
      <c r="C412" s="192"/>
      <c r="D412" s="192"/>
      <c r="E412" s="192"/>
      <c r="F412" s="22" t="s">
        <v>111</v>
      </c>
      <c r="G412" s="192"/>
      <c r="H412" s="192"/>
      <c r="I412" s="192"/>
      <c r="J412" s="192"/>
      <c r="K412" s="192"/>
      <c r="L412" s="192"/>
      <c r="M412" s="192"/>
      <c r="N412" s="87"/>
    </row>
    <row r="413" spans="1:31" ht="15.75" hidden="1">
      <c r="A413" s="246" t="s">
        <v>112</v>
      </c>
      <c r="B413" s="246"/>
      <c r="C413" s="246"/>
      <c r="D413" s="246"/>
      <c r="E413" s="246"/>
      <c r="F413" s="246"/>
      <c r="G413" s="246"/>
      <c r="H413" s="246"/>
      <c r="I413" s="246"/>
      <c r="J413" s="246"/>
      <c r="K413" s="246"/>
      <c r="L413" s="246"/>
      <c r="M413" s="246"/>
      <c r="N413" s="246"/>
      <c r="U413" s="138" t="s">
        <v>63</v>
      </c>
      <c r="W413" s="138" t="s">
        <v>24</v>
      </c>
      <c r="Y413" s="138" t="s">
        <v>69</v>
      </c>
      <c r="AA413" s="138" t="s">
        <v>72</v>
      </c>
      <c r="AB413" s="138" t="s">
        <v>77</v>
      </c>
      <c r="AC413" s="138" t="s">
        <v>79</v>
      </c>
      <c r="AD413" s="138" t="s">
        <v>170</v>
      </c>
      <c r="AE413" s="138" t="s">
        <v>176</v>
      </c>
    </row>
    <row r="414" spans="1:31" ht="16.5" hidden="1" thickBot="1">
      <c r="A414" s="24"/>
      <c r="B414" s="18"/>
      <c r="C414" s="19"/>
      <c r="D414" s="19"/>
      <c r="E414" s="19"/>
      <c r="F414" s="20"/>
      <c r="G414" s="20"/>
      <c r="H414" s="18"/>
      <c r="I414" s="18"/>
      <c r="J414" s="18"/>
      <c r="K414" s="19"/>
      <c r="L414" s="18"/>
      <c r="M414" s="18"/>
      <c r="N414" s="23"/>
      <c r="U414" s="138" t="s">
        <v>64</v>
      </c>
      <c r="W414" s="138" t="s">
        <v>82</v>
      </c>
      <c r="Y414" s="138" t="s">
        <v>70</v>
      </c>
      <c r="AA414" s="138" t="s">
        <v>73</v>
      </c>
      <c r="AB414" s="138" t="s">
        <v>29</v>
      </c>
      <c r="AC414" s="139">
        <v>2</v>
      </c>
      <c r="AD414" s="138" t="s">
        <v>171</v>
      </c>
      <c r="AE414" s="138">
        <v>0.65</v>
      </c>
    </row>
    <row r="415" spans="1:31" ht="15.75" hidden="1" thickBot="1">
      <c r="A415" s="25" t="s">
        <v>23</v>
      </c>
      <c r="B415" s="26"/>
      <c r="C415" s="88"/>
      <c r="D415" s="258" t="s">
        <v>64</v>
      </c>
      <c r="E415" s="258"/>
      <c r="F415" s="266" t="s">
        <v>92</v>
      </c>
      <c r="G415" s="267"/>
      <c r="H415" s="263" t="str">
        <f>+H357</f>
        <v>Puerto Villamil</v>
      </c>
      <c r="I415" s="264"/>
      <c r="J415" s="265"/>
      <c r="K415" s="268" t="s">
        <v>81</v>
      </c>
      <c r="L415" s="269"/>
      <c r="M415" s="261" t="str">
        <f>+M357</f>
        <v>Pedregal V</v>
      </c>
      <c r="N415" s="262"/>
      <c r="U415" s="138" t="s">
        <v>65</v>
      </c>
      <c r="W415" s="138" t="s">
        <v>83</v>
      </c>
      <c r="Y415" s="138" t="s">
        <v>7</v>
      </c>
      <c r="AA415" s="138" t="s">
        <v>76</v>
      </c>
      <c r="AB415" s="138" t="s">
        <v>78</v>
      </c>
      <c r="AC415" s="139" t="s">
        <v>0</v>
      </c>
      <c r="AD415" s="138" t="s">
        <v>172</v>
      </c>
      <c r="AE415" s="138">
        <v>0.7</v>
      </c>
    </row>
    <row r="416" spans="1:31" ht="15.75" hidden="1" thickBot="1">
      <c r="A416" s="21"/>
      <c r="B416" s="21"/>
      <c r="C416" s="21"/>
      <c r="D416" s="21"/>
      <c r="E416" s="21"/>
      <c r="F416" s="28"/>
      <c r="G416" s="28"/>
      <c r="H416" s="21"/>
      <c r="I416" s="21"/>
      <c r="J416" s="21"/>
      <c r="K416" s="21"/>
      <c r="L416" s="21"/>
      <c r="M416" s="21"/>
      <c r="N416" s="23"/>
      <c r="U416" s="138" t="s">
        <v>66</v>
      </c>
      <c r="W416" s="138" t="s">
        <v>68</v>
      </c>
      <c r="Y416" s="138" t="s">
        <v>27</v>
      </c>
      <c r="AA416" s="138" t="s">
        <v>74</v>
      </c>
      <c r="AC416" s="139" t="s">
        <v>1</v>
      </c>
      <c r="AD416" s="138" t="s">
        <v>173</v>
      </c>
      <c r="AE416" s="138">
        <v>0.8</v>
      </c>
    </row>
    <row r="417" spans="1:31" ht="15.75" hidden="1" thickBot="1">
      <c r="A417" s="25" t="s">
        <v>24</v>
      </c>
      <c r="B417" s="26"/>
      <c r="C417" s="26"/>
      <c r="D417" s="259" t="s">
        <v>68</v>
      </c>
      <c r="E417" s="258"/>
      <c r="F417" s="260"/>
      <c r="G417" s="26"/>
      <c r="H417" s="29"/>
      <c r="I417" s="29"/>
      <c r="J417" s="26"/>
      <c r="K417" s="26"/>
      <c r="L417" s="26" t="s">
        <v>174</v>
      </c>
      <c r="M417" s="26"/>
      <c r="N417" s="211" t="s">
        <v>173</v>
      </c>
      <c r="U417" s="138" t="s">
        <v>67</v>
      </c>
      <c r="Y417" s="138" t="s">
        <v>9</v>
      </c>
      <c r="AA417" s="138" t="s">
        <v>75</v>
      </c>
      <c r="AC417" s="139" t="s">
        <v>2</v>
      </c>
      <c r="AE417" s="138">
        <v>0.9</v>
      </c>
    </row>
    <row r="418" spans="1:31" ht="15.75" hidden="1" thickBot="1">
      <c r="A418" s="23" t="s">
        <v>25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 t="s">
        <v>178</v>
      </c>
      <c r="L418" s="208"/>
      <c r="M418" s="23"/>
      <c r="N418" s="43" t="str">
        <f>IF(N419="","",IF(N419="3F","220 / 127 V","240 / 120 V"))</f>
        <v>220 / 127 V</v>
      </c>
      <c r="AC418" s="141" t="s">
        <v>3</v>
      </c>
      <c r="AE418" s="138">
        <v>1</v>
      </c>
    </row>
    <row r="419" spans="1:24" ht="15.75" hidden="1" thickBot="1">
      <c r="A419" s="30" t="s">
        <v>26</v>
      </c>
      <c r="B419" s="18"/>
      <c r="C419" s="23"/>
      <c r="D419" s="253" t="s">
        <v>70</v>
      </c>
      <c r="E419" s="254"/>
      <c r="F419" s="18"/>
      <c r="G419" s="18"/>
      <c r="H419" s="18"/>
      <c r="I419" s="18"/>
      <c r="J419" s="18"/>
      <c r="K419" s="23"/>
      <c r="L419" s="18" t="s">
        <v>179</v>
      </c>
      <c r="M419" s="18"/>
      <c r="N419" s="151" t="s">
        <v>78</v>
      </c>
      <c r="U419" s="138" t="s">
        <v>64</v>
      </c>
      <c r="W419" s="138" t="s">
        <v>29</v>
      </c>
      <c r="X419" s="138" t="s">
        <v>78</v>
      </c>
    </row>
    <row r="420" spans="1:24" ht="15.75" hidden="1" thickBot="1">
      <c r="A420" s="23"/>
      <c r="B420" s="31"/>
      <c r="C420" s="23"/>
      <c r="D420" s="19"/>
      <c r="E420" s="32"/>
      <c r="F420" s="32"/>
      <c r="G420" s="20"/>
      <c r="H420" s="20"/>
      <c r="I420" s="20"/>
      <c r="J420" s="33"/>
      <c r="K420" s="21" t="s">
        <v>175</v>
      </c>
      <c r="L420" s="35"/>
      <c r="M420" s="18"/>
      <c r="N420" s="209">
        <v>0.65</v>
      </c>
      <c r="U420" s="138" t="s">
        <v>84</v>
      </c>
      <c r="W420" s="138">
        <v>10</v>
      </c>
      <c r="X420" s="138">
        <v>30</v>
      </c>
    </row>
    <row r="421" spans="1:24" ht="15.75" hidden="1" thickBot="1">
      <c r="A421" s="36" t="s">
        <v>71</v>
      </c>
      <c r="B421" s="37"/>
      <c r="C421" s="37"/>
      <c r="D421" s="150" t="s">
        <v>73</v>
      </c>
      <c r="E421" s="38"/>
      <c r="F421" s="39"/>
      <c r="G421" s="39"/>
      <c r="H421" s="39"/>
      <c r="I421" s="39"/>
      <c r="J421" s="37"/>
      <c r="K421" s="36"/>
      <c r="L421" s="37"/>
      <c r="M421" s="89" t="s">
        <v>30</v>
      </c>
      <c r="N421" s="190" t="s">
        <v>197</v>
      </c>
      <c r="U421" s="138" t="s">
        <v>85</v>
      </c>
      <c r="W421" s="138">
        <v>15</v>
      </c>
      <c r="X421" s="138">
        <v>50</v>
      </c>
    </row>
    <row r="422" spans="1:24" ht="15.75" hidden="1" thickBot="1">
      <c r="A422" s="41" t="s">
        <v>31</v>
      </c>
      <c r="B422" s="21"/>
      <c r="C422" s="21"/>
      <c r="D422" s="150">
        <v>11</v>
      </c>
      <c r="E422" s="21"/>
      <c r="F422" s="28"/>
      <c r="G422" s="42" t="s">
        <v>32</v>
      </c>
      <c r="H422" s="274" t="str">
        <f>+H364</f>
        <v>J.P</v>
      </c>
      <c r="I422" s="275"/>
      <c r="J422" s="275"/>
      <c r="K422" s="41"/>
      <c r="L422" s="21"/>
      <c r="M422" s="115" t="s">
        <v>93</v>
      </c>
      <c r="N422" s="210">
        <f>+N423/N420</f>
        <v>72.57973716471412</v>
      </c>
      <c r="U422" s="138" t="s">
        <v>86</v>
      </c>
      <c r="W422" s="138">
        <v>25</v>
      </c>
      <c r="X422" s="138">
        <v>75</v>
      </c>
    </row>
    <row r="423" spans="1:24" ht="15.75" hidden="1" thickBot="1">
      <c r="A423" s="41" t="s">
        <v>34</v>
      </c>
      <c r="B423" s="21"/>
      <c r="C423" s="21"/>
      <c r="D423" s="162">
        <v>550</v>
      </c>
      <c r="E423" s="41"/>
      <c r="F423" s="28"/>
      <c r="G423" s="42" t="s">
        <v>35</v>
      </c>
      <c r="H423" s="249">
        <f>+H365</f>
        <v>43511</v>
      </c>
      <c r="I423" s="250"/>
      <c r="J423" s="250"/>
      <c r="K423" s="41"/>
      <c r="L423" s="21"/>
      <c r="M423" s="115" t="s">
        <v>177</v>
      </c>
      <c r="N423" s="116">
        <f>IF($N$417="","",IF($N$417="INDUSTRIAL",IF(OR(D415="",D421="",D422=""),"",(IF(OR(D415="SAN CRISTOBAL",D415="FLOREANA"),VLOOKUP(D422,'Estratos SCY - FLO'!$A$4:$M$108,IF(D421="A1",2,IF(D421="A",5,IF(D421="B",8,11))),0),VLOOKUP(D422,'Estratos SCX - ISA'!$A$4:$M$108,IF(D421="A1",2,IF(D421="A",5,IF(D421="B",8,11))),0))+D423/920)*N420),IF(OR(D415="",D421="",D422=""),"",(IF(OR(D415="SAN CRISTOBAL",D415="FLOREANA"),VLOOKUP(D422,'Estratos SCY - FLO'!$O$4:$S$108,IF(D421="A1",2,IF(D421="A",3,IF(D421="B",4,5))),0),VLOOKUP(D422,'Estratos SCX - ISA'!$O$4:$S$108,IF(D421="A1",2,IF(D421="A",3,IF(D421="B",4,5))),0))+D423/920)*N420)))</f>
        <v>47.17682915706418</v>
      </c>
      <c r="U423" s="138" t="s">
        <v>87</v>
      </c>
      <c r="W423" s="138">
        <v>37.5</v>
      </c>
      <c r="X423" s="138">
        <v>100</v>
      </c>
    </row>
    <row r="424" spans="1:24" ht="36" customHeight="1" hidden="1" thickBot="1">
      <c r="A424" s="270" t="str">
        <f>+IF(OR(N417="INDUSTRIAL"),"NOTA: Estratos:  A1 (Consumo-Alto); A (Consumo-Medio); B(Consumo-Bajo); C(Consumo-Mínimo)",IF(N417="","","NOTA: Estratos:  A1 (Casco Urbano-Sector hotelero);A (Barrios Centricos); B(Zona Periferica); C(Zona Rural)"))</f>
        <v>NOTA: Estratos:  A1 (Consumo-Alto); A (Consumo-Medio); B(Consumo-Bajo); C(Consumo-Mínimo)</v>
      </c>
      <c r="B424" s="271"/>
      <c r="C424" s="271"/>
      <c r="D424" s="271"/>
      <c r="E424" s="271"/>
      <c r="F424" s="271"/>
      <c r="G424" s="271"/>
      <c r="H424" s="271"/>
      <c r="I424" s="271"/>
      <c r="J424" s="271"/>
      <c r="K424" s="44"/>
      <c r="L424" s="34"/>
      <c r="M424" s="130" t="str">
        <f>+IF(OR(N419="",D421="",D422=""),"","POT. NOMINAL TRAFO. (KVA):")</f>
        <v>POT. NOMINAL TRAFO. (KVA):</v>
      </c>
      <c r="N424" s="117">
        <f>IF(OR(N419="",N420="",N420=0),"",IF(N419="1F",IF(N423&lt;$W$11,$W$11,IF(AND(N423&gt;$W$11,N423&lt;$W$12),$W$12,IF(AND(N423&gt;$W$12,N423&lt;$W$13),$W$13,IF(AND(N423&gt;$W$13,N423&lt;$W$14),$W$14,IF(AND(N423&gt;$W$14,N423&lt;$W$15),$W$15,IF(AND(N423&gt;$W$15,N423&lt;$W$16),$W$16,IF(AND(N423&gt;$W$16,N423&lt;$W$17),$W$17,IF(AND(N423&gt;$W$17,N423&lt;$W$18),$W$18,IF(AND(N423&gt;$W$18,N423&lt;$W$19),$W$19,""))))))))),IF($N$423&lt;$X$11,$X$11,IF(AND(N423&gt;$X$11,N423&lt;$X$12),$X$12,IF(AND(N423&gt;$X$12,N423&lt;$X$13),$X$13,IF(AND(N423&gt;$X$13,N423&lt;$X$14),$X$14,IF(AND(N423&gt;$X$14,N423&lt;$X$15),$X$15,IF(AND(N423&gt;$X$15,N423&lt;$X$16),$X$16,IF(AND(N423&gt;$X$16,N423&lt;$X$17),$X$17,"")))))))))</f>
        <v>50</v>
      </c>
      <c r="U424" s="138" t="s">
        <v>88</v>
      </c>
      <c r="W424" s="138">
        <v>50</v>
      </c>
      <c r="X424" s="138">
        <v>125</v>
      </c>
    </row>
    <row r="425" spans="1:24" ht="15.75" hidden="1" thickBot="1">
      <c r="A425" s="21"/>
      <c r="B425" s="21"/>
      <c r="C425" s="21"/>
      <c r="D425" s="21"/>
      <c r="E425" s="21"/>
      <c r="F425" s="28"/>
      <c r="G425" s="28"/>
      <c r="H425" s="21"/>
      <c r="I425" s="21"/>
      <c r="J425" s="21"/>
      <c r="K425" s="21"/>
      <c r="L425" s="21"/>
      <c r="M425" s="21"/>
      <c r="N425" s="23"/>
      <c r="U425" s="138" t="s">
        <v>89</v>
      </c>
      <c r="W425" s="138">
        <v>75</v>
      </c>
      <c r="X425" s="138">
        <v>150</v>
      </c>
    </row>
    <row r="426" spans="1:24" ht="19.5" hidden="1" thickBot="1">
      <c r="A426" s="46" t="s">
        <v>36</v>
      </c>
      <c r="B426" s="47"/>
      <c r="C426" s="47"/>
      <c r="D426" s="48" t="s">
        <v>37</v>
      </c>
      <c r="E426" s="49"/>
      <c r="F426" s="50"/>
      <c r="G426" s="50"/>
      <c r="H426" s="37"/>
      <c r="I426" s="37"/>
      <c r="J426" s="37"/>
      <c r="K426" s="37"/>
      <c r="L426" s="37"/>
      <c r="M426" s="37"/>
      <c r="N426" s="40"/>
      <c r="U426" s="138" t="s">
        <v>90</v>
      </c>
      <c r="W426" s="138">
        <v>100</v>
      </c>
      <c r="X426" s="138">
        <v>200</v>
      </c>
    </row>
    <row r="427" spans="1:23" ht="15.75" hidden="1" thickBot="1">
      <c r="A427" s="41"/>
      <c r="B427" s="21"/>
      <c r="C427" s="21"/>
      <c r="D427" s="21"/>
      <c r="E427" s="21"/>
      <c r="F427" s="28"/>
      <c r="G427" s="28"/>
      <c r="H427" s="21"/>
      <c r="I427" s="21"/>
      <c r="J427" s="21"/>
      <c r="K427" s="21"/>
      <c r="L427" s="21" t="s">
        <v>196</v>
      </c>
      <c r="M427" s="21"/>
      <c r="N427" s="163"/>
      <c r="U427" s="138" t="s">
        <v>91</v>
      </c>
      <c r="W427" s="138">
        <v>112.5</v>
      </c>
    </row>
    <row r="428" spans="1:23" ht="15.75" hidden="1" thickBot="1">
      <c r="A428" s="44"/>
      <c r="B428" s="34"/>
      <c r="C428" s="34"/>
      <c r="D428" s="34"/>
      <c r="E428" s="34"/>
      <c r="F428" s="45"/>
      <c r="G428" s="45"/>
      <c r="H428" s="34"/>
      <c r="I428" s="34"/>
      <c r="J428" s="34"/>
      <c r="K428" s="34"/>
      <c r="L428" s="113" t="s">
        <v>102</v>
      </c>
      <c r="M428" s="142"/>
      <c r="N428" s="163" t="s">
        <v>160</v>
      </c>
      <c r="W428" s="138">
        <v>125</v>
      </c>
    </row>
    <row r="429" spans="1:14" ht="15.75" hidden="1" thickBot="1">
      <c r="A429" s="21"/>
      <c r="B429" s="21"/>
      <c r="C429" s="21"/>
      <c r="D429" s="21"/>
      <c r="E429" s="21"/>
      <c r="F429" s="28"/>
      <c r="G429" s="28"/>
      <c r="H429" s="21"/>
      <c r="I429" s="21"/>
      <c r="J429" s="21"/>
      <c r="K429" s="21"/>
      <c r="L429" s="21"/>
      <c r="M429" s="21"/>
      <c r="N429" s="23"/>
    </row>
    <row r="430" spans="1:22" ht="15.75" hidden="1" thickBot="1">
      <c r="A430" s="257" t="s">
        <v>38</v>
      </c>
      <c r="B430" s="252"/>
      <c r="C430" s="52" t="s">
        <v>39</v>
      </c>
      <c r="D430" s="52" t="s">
        <v>40</v>
      </c>
      <c r="E430" s="53" t="s">
        <v>41</v>
      </c>
      <c r="F430" s="53" t="s">
        <v>42</v>
      </c>
      <c r="G430" s="257" t="s">
        <v>43</v>
      </c>
      <c r="H430" s="251"/>
      <c r="I430" s="251"/>
      <c r="J430" s="252"/>
      <c r="K430" s="255" t="s">
        <v>44</v>
      </c>
      <c r="L430" s="251" t="s">
        <v>45</v>
      </c>
      <c r="M430" s="251"/>
      <c r="N430" s="252"/>
      <c r="U430" s="237" t="s">
        <v>98</v>
      </c>
      <c r="V430" s="237" t="s">
        <v>99</v>
      </c>
    </row>
    <row r="431" spans="1:22" ht="15.75" hidden="1" thickBot="1">
      <c r="A431" s="52" t="s">
        <v>46</v>
      </c>
      <c r="B431" s="52" t="s">
        <v>47</v>
      </c>
      <c r="C431" s="54" t="s">
        <v>48</v>
      </c>
      <c r="D431" s="54" t="s">
        <v>49</v>
      </c>
      <c r="E431" s="55" t="s">
        <v>50</v>
      </c>
      <c r="F431" s="55" t="s">
        <v>51</v>
      </c>
      <c r="G431" s="56" t="s">
        <v>52</v>
      </c>
      <c r="H431" s="43" t="s">
        <v>105</v>
      </c>
      <c r="I431" s="124" t="s">
        <v>106</v>
      </c>
      <c r="J431" s="43" t="s">
        <v>53</v>
      </c>
      <c r="K431" s="256"/>
      <c r="L431" s="53" t="s">
        <v>54</v>
      </c>
      <c r="M431" s="43" t="s">
        <v>55</v>
      </c>
      <c r="N431" s="57" t="s">
        <v>56</v>
      </c>
      <c r="U431" s="237"/>
      <c r="V431" s="237"/>
    </row>
    <row r="432" spans="1:22" ht="15" hidden="1">
      <c r="A432" s="191" t="str">
        <f>IF(N428="","",N428)</f>
        <v>P37</v>
      </c>
      <c r="B432" s="164" t="s">
        <v>161</v>
      </c>
      <c r="C432" s="165">
        <v>31</v>
      </c>
      <c r="D432" s="165">
        <v>6</v>
      </c>
      <c r="E432" s="166">
        <v>220</v>
      </c>
      <c r="F432" s="193">
        <f>IF($N$417="","",IF($N$417="INDUSTRIAL",IF(OR($D$415="",$D$421=""),"",IF(OR(D432&gt;$D$422,E432&gt;$D$423),"Rev. Total. abona.",IF(D432="",IF(E432="","",E432/(0.92*1000)),IF(OR($D$415="SAN CRISTOBAL",$D$415="FLOREANA"),VLOOKUP(D432,'Estratos SCY - FLO'!$A$4:$M$108,IF($D$421="A1",2,IF($D$421="A",5,IF($D$421="B",8,11))))+E432/(0.92*1000),VLOOKUP(D432,'Estratos SCX - ISA'!$A$3:$M$107,IF($D$421="A1",2,IF($D$421="A",5,IF($D$421="B",8,11))))+E432/(0.92*1000))))),IF(OR($D$415="",$D$421=""),"",IF(OR(D432&gt;$D$422,E432&gt;$D$423),"Rev. Total. abona.",IF(D432="",IF(E432="","",E432/(0.92*1000)),IF(OR($D$415="SAN CRISTOBAL",$D$415="FLOREANA"),VLOOKUP(D432,'Estratos SCY - FLO'!$O$4:$S$108,IF($D$421="A1",2,IF($D$421="A",3,IF($D$421="B",4,5))))+E432/(0.92*1000),VLOOKUP(D432,'Estratos SCX - ISA'!$O$4:$S$108,IF($D$421="A1",2,IF($D$421="A",3,IF($D$421="B",4,5))))+E432/(0.92*1000)))))))</f>
        <v>41.7033663773777</v>
      </c>
      <c r="G432" s="95">
        <f>IF(OR($N$10="",C432=""),"",IF($N$10="1F",1,3))</f>
        <v>1</v>
      </c>
      <c r="H432" s="182" t="s">
        <v>0</v>
      </c>
      <c r="I432" s="182" t="s">
        <v>0</v>
      </c>
      <c r="J432" s="95">
        <f>IF(OR(H432="",$D$10="",$N$10=""),"",IF($D$10="COBRE",VLOOKUP(CDV_PROY_BT!H432,FDV!$B$16:$E$24,IF(CDV_PROY_BT!$N$10="3F",3,4),FALSE),IF($D$10="ACS",VLOOKUP(CDV_PROY_BT!H432,FDV!$B$10:$E$15,IF(CDV_PROY_BT!$N$10="3F",3,4),FALSE),IF($D$10="5005 (PREENSAMBLADO)",VLOOKUP(CDV_PROY_BT!H432,FDV!$B$4:$E$9,IF(CDV_PROY_BT!$N$10="3F",3,4),FALSE),VLOOKUP(CDV_PROY_BT!H432,FDV!$B$25:$E$30,IF(CDV_PROY_BT!$N$10="3F",3,4),FALSE)))))</f>
        <v>412</v>
      </c>
      <c r="K432" s="60">
        <f aca="true" t="shared" si="61" ref="K432:K459">IF(C432="","",ROUND(F432*C432,0))</f>
        <v>1293</v>
      </c>
      <c r="L432" s="61">
        <f>IF($N$19="","",IF(C432="","",ROUND(K432/J432,2)))</f>
        <v>3.14</v>
      </c>
      <c r="M432" s="61">
        <f>IF(C432="","",VLOOKUP(A432,$B$432:$N$459,12,FALSE)+L432+N427)</f>
        <v>3.14</v>
      </c>
      <c r="N432" s="154"/>
      <c r="U432" s="138">
        <f>+IF(C432="",0,C432)</f>
        <v>31</v>
      </c>
      <c r="V432" s="138">
        <f>IF(OR(C432="",G432=""),0,C432*G432)</f>
        <v>31</v>
      </c>
    </row>
    <row r="433" spans="1:22" ht="15" hidden="1">
      <c r="A433" s="167" t="s">
        <v>161</v>
      </c>
      <c r="B433" s="168" t="s">
        <v>165</v>
      </c>
      <c r="C433" s="169">
        <v>31</v>
      </c>
      <c r="D433" s="169">
        <v>3</v>
      </c>
      <c r="E433" s="170">
        <v>110</v>
      </c>
      <c r="F433" s="62">
        <f>IF($N$417="","",IF($N$417="INDUSTRIAL",IF(OR($D$415="",$D$421=""),"",IF(OR(D433&gt;$D$422,E433&gt;$D$423),"Rev. Total. abona.",IF(D433="",IF(E433="","",E433/(0.92*1000)),IF(OR($D$415="SAN CRISTOBAL",$D$415="FLOREANA"),VLOOKUP(D433,'Estratos SCY - FLO'!$A$4:$M$108,IF($D$421="A1",2,IF($D$421="A",5,IF($D$421="B",8,11))))+E433/(0.92*1000),VLOOKUP(D433,'Estratos SCX - ISA'!$A$3:$M$107,IF($D$421="A1",2,IF($D$421="A",5,IF($D$421="B",8,11))))+E433/(0.92*1000))))),IF(OR($D$415="",$D$421=""),"",IF(OR(D433&gt;$D$422,E433&gt;$D$423),"Rev. Total. abona.",IF(D433="",IF(E433="","",E433/(0.92*1000)),IF(OR($D$415="SAN CRISTOBAL",$D$415="FLOREANA"),VLOOKUP(D433,'Estratos SCY - FLO'!$O$4:$S$108,IF($D$421="A1",2,IF($D$421="A",3,IF($D$421="B",4,5))))+E433/(0.92*1000),VLOOKUP(D433,'Estratos SCX - ISA'!$O$4:$S$108,IF($D$421="A1",2,IF($D$421="A",3,IF($D$421="B",4,5))))+E433/(0.92*1000)))))))</f>
        <v>22.186213405145857</v>
      </c>
      <c r="G433" s="59">
        <f aca="true" t="shared" si="62" ref="G433:G459">IF(OR($N$10="",C433=""),"",IF($N$10="1F",1,3))</f>
        <v>1</v>
      </c>
      <c r="H433" s="183" t="s">
        <v>0</v>
      </c>
      <c r="I433" s="183" t="s">
        <v>0</v>
      </c>
      <c r="J433" s="59">
        <f>IF(OR(H433="",$D$10="",$N$10=""),"",IF($D$10="COBRE",VLOOKUP(CDV_PROY_BT!H433,FDV!$B$16:$E$24,IF(CDV_PROY_BT!$N$10="3F",3,4),FALSE),IF($D$10="ACS",VLOOKUP(CDV_PROY_BT!H433,FDV!$B$10:$E$15,IF(CDV_PROY_BT!$N$10="3F",3,4),FALSE),IF($D$10="5005 (PREENSAMBLADO)",VLOOKUP(CDV_PROY_BT!H433,FDV!$B$4:$E$9,IF(CDV_PROY_BT!$N$10="3F",3,4),FALSE),VLOOKUP(CDV_PROY_BT!H433,FDV!$B$25:$E$30,IF(CDV_PROY_BT!$N$10="3F",3,4),FALSE)))))</f>
        <v>412</v>
      </c>
      <c r="K433" s="63">
        <f t="shared" si="61"/>
        <v>688</v>
      </c>
      <c r="L433" s="62">
        <f aca="true" t="shared" si="63" ref="L433:L458">IF($N$19="","",IF(C433="","",ROUND(K433/J433,2)))</f>
        <v>1.67</v>
      </c>
      <c r="M433" s="62">
        <f aca="true" t="shared" si="64" ref="M433:M458">IF(C433="","",VLOOKUP(A433,$B$432:$N$459,12,FALSE)+L433)</f>
        <v>4.8100000000000005</v>
      </c>
      <c r="N433" s="155">
        <f>+M433</f>
        <v>4.8100000000000005</v>
      </c>
      <c r="U433" s="138">
        <f aca="true" t="shared" si="65" ref="U433:U458">+IF(C433="",0,C433)</f>
        <v>31</v>
      </c>
      <c r="V433" s="138">
        <f aca="true" t="shared" si="66" ref="V433:V458">IF(OR(C433="",G433=""),0,C433*G433)</f>
        <v>31</v>
      </c>
    </row>
    <row r="434" spans="1:22" ht="15" hidden="1">
      <c r="A434" s="167" t="s">
        <v>160</v>
      </c>
      <c r="B434" s="168" t="s">
        <v>159</v>
      </c>
      <c r="C434" s="169">
        <v>31</v>
      </c>
      <c r="D434" s="169">
        <v>4</v>
      </c>
      <c r="E434" s="170">
        <v>220</v>
      </c>
      <c r="F434" s="58">
        <f>IF($N$417="","",IF($N$417="INDUSTRIAL",IF(OR($D$415="",$D$421=""),"",IF(OR(D434&gt;$D$422,E434&gt;$D$423),"Rev. Total. abona.",IF(D434="",IF(E434="","",E434/(0.92*1000)),IF(OR($D$415="SAN CRISTOBAL",$D$415="FLOREANA"),VLOOKUP(D434,'Estratos SCY - FLO'!$A$4:$M$108,IF($D$421="A1",2,IF($D$421="A",5,IF($D$421="B",8,11))))+E434/(0.92*1000),VLOOKUP(D434,'Estratos SCX - ISA'!$A$3:$M$107,IF($D$421="A1",2,IF($D$421="A",5,IF($D$421="B",8,11))))+E434/(0.92*1000))))),IF(OR($D$415="",$D$421=""),"",IF(OR(D434&gt;$D$422,E434&gt;$D$423),"Rev. Total. abona.",IF(D434="",IF(E434="","",E434/(0.92*1000)),IF(OR($D$415="SAN CRISTOBAL",$D$415="FLOREANA"),VLOOKUP(D434,'Estratos SCY - FLO'!$O$4:$S$108,IF($D$421="A1",2,IF($D$421="A",3,IF($D$421="B",4,5))))+E434/(0.92*1000),VLOOKUP(D434,'Estratos SCX - ISA'!$O$4:$S$108,IF($D$421="A1",2,IF($D$421="A",3,IF($D$421="B",4,5))))+E434/(0.92*1000)))))))</f>
        <v>28.909323754303077</v>
      </c>
      <c r="G434" s="59">
        <f t="shared" si="62"/>
        <v>1</v>
      </c>
      <c r="H434" s="183" t="s">
        <v>0</v>
      </c>
      <c r="I434" s="183" t="s">
        <v>0</v>
      </c>
      <c r="J434" s="59">
        <f>IF(OR(H434="",$D$10="",$N$10=""),"",IF($D$10="COBRE",VLOOKUP(CDV_PROY_BT!H434,FDV!$B$16:$E$24,IF(CDV_PROY_BT!$N$10="3F",3,4),FALSE),IF($D$10="ACS",VLOOKUP(CDV_PROY_BT!H434,FDV!$B$10:$E$15,IF(CDV_PROY_BT!$N$10="3F",3,4),FALSE),IF($D$10="5005 (PREENSAMBLADO)",VLOOKUP(CDV_PROY_BT!H434,FDV!$B$4:$E$9,IF(CDV_PROY_BT!$N$10="3F",3,4),FALSE),VLOOKUP(CDV_PROY_BT!H434,FDV!$B$25:$E$30,IF(CDV_PROY_BT!$N$10="3F",3,4),FALSE)))))</f>
        <v>412</v>
      </c>
      <c r="K434" s="63">
        <f t="shared" si="61"/>
        <v>896</v>
      </c>
      <c r="L434" s="62">
        <f t="shared" si="63"/>
        <v>2.17</v>
      </c>
      <c r="M434" s="62">
        <f t="shared" si="64"/>
        <v>2.17</v>
      </c>
      <c r="N434" s="155"/>
      <c r="U434" s="138">
        <f t="shared" si="65"/>
        <v>31</v>
      </c>
      <c r="V434" s="138">
        <f t="shared" si="66"/>
        <v>31</v>
      </c>
    </row>
    <row r="435" spans="1:22" ht="15" hidden="1">
      <c r="A435" s="167" t="s">
        <v>159</v>
      </c>
      <c r="B435" s="168" t="s">
        <v>162</v>
      </c>
      <c r="C435" s="169">
        <v>31</v>
      </c>
      <c r="D435" s="169">
        <v>3</v>
      </c>
      <c r="E435" s="170">
        <v>110</v>
      </c>
      <c r="F435" s="58">
        <f>IF($N$417="","",IF($N$417="INDUSTRIAL",IF(OR($D$415="",$D$421=""),"",IF(OR(D435&gt;$D$422,E435&gt;$D$423),"Rev. Total. abona.",IF(D435="",IF(E435="","",E435/(0.92*1000)),IF(OR($D$415="SAN CRISTOBAL",$D$415="FLOREANA"),VLOOKUP(D435,'Estratos SCY - FLO'!$A$4:$M$108,IF($D$421="A1",2,IF($D$421="A",5,IF($D$421="B",8,11))))+E435/(0.92*1000),VLOOKUP(D435,'Estratos SCX - ISA'!$A$3:$M$107,IF($D$421="A1",2,IF($D$421="A",5,IF($D$421="B",8,11))))+E435/(0.92*1000))))),IF(OR($D$415="",$D$421=""),"",IF(OR(D435&gt;$D$422,E435&gt;$D$423),"Rev. Total. abona.",IF(D435="",IF(E435="","",E435/(0.92*1000)),IF(OR($D$415="SAN CRISTOBAL",$D$415="FLOREANA"),VLOOKUP(D435,'Estratos SCY - FLO'!$O$4:$S$108,IF($D$421="A1",2,IF($D$421="A",3,IF($D$421="B",4,5))))+E435/(0.92*1000),VLOOKUP(D435,'Estratos SCX - ISA'!$O$4:$S$108,IF($D$421="A1",2,IF($D$421="A",3,IF($D$421="B",4,5))))+E435/(0.92*1000)))))))</f>
        <v>22.186213405145857</v>
      </c>
      <c r="G435" s="59">
        <f t="shared" si="62"/>
        <v>1</v>
      </c>
      <c r="H435" s="183" t="s">
        <v>0</v>
      </c>
      <c r="I435" s="183" t="s">
        <v>0</v>
      </c>
      <c r="J435" s="59">
        <f>IF(OR(H435="",$D$10="",$N$10=""),"",IF($D$10="COBRE",VLOOKUP(CDV_PROY_BT!H435,FDV!$B$16:$E$24,IF(CDV_PROY_BT!$N$10="3F",3,4),FALSE),IF($D$10="ACS",VLOOKUP(CDV_PROY_BT!H435,FDV!$B$10:$E$15,IF(CDV_PROY_BT!$N$10="3F",3,4),FALSE),IF($D$10="5005 (PREENSAMBLADO)",VLOOKUP(CDV_PROY_BT!H435,FDV!$B$4:$E$9,IF(CDV_PROY_BT!$N$10="3F",3,4),FALSE),VLOOKUP(CDV_PROY_BT!H435,FDV!$B$25:$E$30,IF(CDV_PROY_BT!$N$10="3F",3,4),FALSE)))))</f>
        <v>412</v>
      </c>
      <c r="K435" s="63">
        <f t="shared" si="61"/>
        <v>688</v>
      </c>
      <c r="L435" s="62">
        <f t="shared" si="63"/>
        <v>1.67</v>
      </c>
      <c r="M435" s="62">
        <f t="shared" si="64"/>
        <v>3.84</v>
      </c>
      <c r="N435" s="155">
        <f>+M435</f>
        <v>3.84</v>
      </c>
      <c r="U435" s="138">
        <f t="shared" si="65"/>
        <v>31</v>
      </c>
      <c r="V435" s="138">
        <f t="shared" si="66"/>
        <v>31</v>
      </c>
    </row>
    <row r="436" spans="1:22" ht="15" hidden="1">
      <c r="A436" s="167"/>
      <c r="B436" s="168"/>
      <c r="C436" s="169"/>
      <c r="D436" s="169"/>
      <c r="E436" s="170"/>
      <c r="F436" s="58" t="str">
        <f>IF($N$417="","",IF($N$417="INDUSTRIAL",IF(OR($D$415="",$D$421=""),"",IF(OR(D436&gt;$D$422,E436&gt;$D$423),"Rev. Total. abona.",IF(D436="",IF(E436="","",E436/(0.92*1000)),IF(OR($D$415="SAN CRISTOBAL",$D$415="FLOREANA"),VLOOKUP(D436,'Estratos SCY - FLO'!$A$4:$M$108,IF($D$421="A1",2,IF($D$421="A",5,IF($D$421="B",8,11))))+E436/(0.92*1000),VLOOKUP(D436,'Estratos SCX - ISA'!$A$3:$M$107,IF($D$421="A1",2,IF($D$421="A",5,IF($D$421="B",8,11))))+E436/(0.92*1000))))),IF(OR($D$415="",$D$421=""),"",IF(OR(D436&gt;$D$422,E436&gt;$D$423),"Rev. Total. abona.",IF(D436="",IF(E436="","",E436/(0.92*1000)),IF(OR($D$415="SAN CRISTOBAL",$D$415="FLOREANA"),VLOOKUP(D436,'Estratos SCY - FLO'!$O$4:$S$108,IF($D$421="A1",2,IF($D$421="A",3,IF($D$421="B",4,5))))+E436/(0.92*1000),VLOOKUP(D436,'Estratos SCX - ISA'!$O$4:$S$108,IF($D$421="A1",2,IF($D$421="A",3,IF($D$421="B",4,5))))+E436/(0.92*1000)))))))</f>
        <v/>
      </c>
      <c r="G436" s="59" t="str">
        <f t="shared" si="62"/>
        <v/>
      </c>
      <c r="H436" s="183"/>
      <c r="I436" s="183"/>
      <c r="J436" s="59" t="str">
        <f>IF(OR(H436="",$D$10="",$N$10=""),"",IF($D$10="COBRE",VLOOKUP(CDV_PROY_BT!H436,FDV!$B$16:$E$24,IF(CDV_PROY_BT!$N$10="3F",3,4),FALSE),IF($D$10="ACS",VLOOKUP(CDV_PROY_BT!H436,FDV!$B$10:$E$15,IF(CDV_PROY_BT!$N$10="3F",3,4),FALSE),IF($D$10="5005 (PREENSAMBLADO)",VLOOKUP(CDV_PROY_BT!H436,FDV!$B$4:$E$9,IF(CDV_PROY_BT!$N$10="3F",3,4),FALSE),VLOOKUP(CDV_PROY_BT!H436,FDV!$B$25:$E$30,IF(CDV_PROY_BT!$N$10="3F",3,4),FALSE)))))</f>
        <v/>
      </c>
      <c r="K436" s="63" t="str">
        <f t="shared" si="61"/>
        <v/>
      </c>
      <c r="L436" s="62" t="str">
        <f t="shared" si="63"/>
        <v/>
      </c>
      <c r="M436" s="62" t="str">
        <f t="shared" si="64"/>
        <v/>
      </c>
      <c r="N436" s="155"/>
      <c r="U436" s="138">
        <f t="shared" si="65"/>
        <v>0</v>
      </c>
      <c r="V436" s="138">
        <f t="shared" si="66"/>
        <v>0</v>
      </c>
    </row>
    <row r="437" spans="1:22" ht="15" hidden="1">
      <c r="A437" s="167"/>
      <c r="B437" s="168"/>
      <c r="C437" s="169"/>
      <c r="D437" s="169"/>
      <c r="E437" s="170"/>
      <c r="F437" s="58" t="str">
        <f>IF($N$417="","",IF($N$417="INDUSTRIAL",IF(OR($D$415="",$D$421=""),"",IF(OR(D437&gt;$D$422,E437&gt;$D$423),"Rev. Total. abona.",IF(D437="",IF(E437="","",E437/(0.92*1000)),IF(OR($D$415="SAN CRISTOBAL",$D$415="FLOREANA"),VLOOKUP(D437,'Estratos SCY - FLO'!$A$4:$M$108,IF($D$421="A1",2,IF($D$421="A",5,IF($D$421="B",8,11))))+E437/(0.92*1000),VLOOKUP(D437,'Estratos SCX - ISA'!$A$3:$M$107,IF($D$421="A1",2,IF($D$421="A",5,IF($D$421="B",8,11))))+E437/(0.92*1000))))),IF(OR($D$415="",$D$421=""),"",IF(OR(D437&gt;$D$422,E437&gt;$D$423),"Rev. Total. abona.",IF(D437="",IF(E437="","",E437/(0.92*1000)),IF(OR($D$415="SAN CRISTOBAL",$D$415="FLOREANA"),VLOOKUP(D437,'Estratos SCY - FLO'!$O$4:$S$108,IF($D$421="A1",2,IF($D$421="A",3,IF($D$421="B",4,5))))+E437/(0.92*1000),VLOOKUP(D437,'Estratos SCX - ISA'!$O$4:$S$108,IF($D$421="A1",2,IF($D$421="A",3,IF($D$421="B",4,5))))+E437/(0.92*1000)))))))</f>
        <v/>
      </c>
      <c r="G437" s="59" t="str">
        <f t="shared" si="62"/>
        <v/>
      </c>
      <c r="H437" s="183"/>
      <c r="I437" s="183"/>
      <c r="J437" s="59" t="str">
        <f>IF(OR(H437="",$D$10="",$N$10=""),"",IF($D$10="COBRE",VLOOKUP(CDV_PROY_BT!H437,FDV!$B$16:$E$24,IF(CDV_PROY_BT!$N$10="3F",3,4),FALSE),IF($D$10="ACS",VLOOKUP(CDV_PROY_BT!H437,FDV!$B$10:$E$15,IF(CDV_PROY_BT!$N$10="3F",3,4),FALSE),IF($D$10="5005 (PREENSAMBLADO)",VLOOKUP(CDV_PROY_BT!H437,FDV!$B$4:$E$9,IF(CDV_PROY_BT!$N$10="3F",3,4),FALSE),VLOOKUP(CDV_PROY_BT!H437,FDV!$B$25:$E$30,IF(CDV_PROY_BT!$N$10="3F",3,4),FALSE)))))</f>
        <v/>
      </c>
      <c r="K437" s="63" t="str">
        <f t="shared" si="61"/>
        <v/>
      </c>
      <c r="L437" s="62" t="str">
        <f t="shared" si="63"/>
        <v/>
      </c>
      <c r="M437" s="62" t="str">
        <f t="shared" si="64"/>
        <v/>
      </c>
      <c r="N437" s="155"/>
      <c r="U437" s="138">
        <f t="shared" si="65"/>
        <v>0</v>
      </c>
      <c r="V437" s="138">
        <f t="shared" si="66"/>
        <v>0</v>
      </c>
    </row>
    <row r="438" spans="1:22" ht="15" hidden="1">
      <c r="A438" s="167"/>
      <c r="B438" s="168"/>
      <c r="C438" s="169"/>
      <c r="D438" s="169"/>
      <c r="E438" s="170"/>
      <c r="F438" s="58" t="str">
        <f>IF($N$417="","",IF($N$417="INDUSTRIAL",IF(OR($D$415="",$D$421=""),"",IF(OR(D438&gt;$D$422,E438&gt;$D$423),"Rev. Total. abona.",IF(D438="",IF(E438="","",E438/(0.92*1000)),IF(OR($D$415="SAN CRISTOBAL",$D$415="FLOREANA"),VLOOKUP(D438,'Estratos SCY - FLO'!$A$4:$M$108,IF($D$421="A1",2,IF($D$421="A",5,IF($D$421="B",8,11))))+E438/(0.92*1000),VLOOKUP(D438,'Estratos SCX - ISA'!$A$3:$M$107,IF($D$421="A1",2,IF($D$421="A",5,IF($D$421="B",8,11))))+E438/(0.92*1000))))),IF(OR($D$415="",$D$421=""),"",IF(OR(D438&gt;$D$422,E438&gt;$D$423),"Rev. Total. abona.",IF(D438="",IF(E438="","",E438/(0.92*1000)),IF(OR($D$415="SAN CRISTOBAL",$D$415="FLOREANA"),VLOOKUP(D438,'Estratos SCY - FLO'!$O$4:$S$108,IF($D$421="A1",2,IF($D$421="A",3,IF($D$421="B",4,5))))+E438/(0.92*1000),VLOOKUP(D438,'Estratos SCX - ISA'!$O$4:$S$108,IF($D$421="A1",2,IF($D$421="A",3,IF($D$421="B",4,5))))+E438/(0.92*1000)))))))</f>
        <v/>
      </c>
      <c r="G438" s="59" t="str">
        <f t="shared" si="62"/>
        <v/>
      </c>
      <c r="H438" s="183"/>
      <c r="I438" s="183"/>
      <c r="J438" s="59" t="str">
        <f>IF(OR(H438="",$D$10="",$N$10=""),"",IF($D$10="COBRE",VLOOKUP(CDV_PROY_BT!H438,FDV!$B$16:$E$24,IF(CDV_PROY_BT!$N$10="3F",3,4),FALSE),IF($D$10="ACS",VLOOKUP(CDV_PROY_BT!H438,FDV!$B$10:$E$15,IF(CDV_PROY_BT!$N$10="3F",3,4),FALSE),IF($D$10="5005 (PREENSAMBLADO)",VLOOKUP(CDV_PROY_BT!H438,FDV!$B$4:$E$9,IF(CDV_PROY_BT!$N$10="3F",3,4),FALSE),VLOOKUP(CDV_PROY_BT!H438,FDV!$B$25:$E$30,IF(CDV_PROY_BT!$N$10="3F",3,4),FALSE)))))</f>
        <v/>
      </c>
      <c r="K438" s="63" t="str">
        <f t="shared" si="61"/>
        <v/>
      </c>
      <c r="L438" s="62" t="str">
        <f t="shared" si="63"/>
        <v/>
      </c>
      <c r="M438" s="62" t="str">
        <f t="shared" si="64"/>
        <v/>
      </c>
      <c r="N438" s="155"/>
      <c r="U438" s="138">
        <f t="shared" si="65"/>
        <v>0</v>
      </c>
      <c r="V438" s="138">
        <f t="shared" si="66"/>
        <v>0</v>
      </c>
    </row>
    <row r="439" spans="1:22" ht="15" hidden="1">
      <c r="A439" s="167"/>
      <c r="B439" s="168"/>
      <c r="C439" s="169"/>
      <c r="D439" s="169"/>
      <c r="E439" s="170"/>
      <c r="F439" s="58" t="str">
        <f>IF($N$417="","",IF($N$417="INDUSTRIAL",IF(OR($D$415="",$D$421=""),"",IF(OR(D439&gt;$D$422,E439&gt;$D$423),"Rev. Total. abona.",IF(D439="",IF(E439="","",E439/(0.92*1000)),IF(OR($D$415="SAN CRISTOBAL",$D$415="FLOREANA"),VLOOKUP(D439,'Estratos SCY - FLO'!$A$4:$M$108,IF($D$421="A1",2,IF($D$421="A",5,IF($D$421="B",8,11))))+E439/(0.92*1000),VLOOKUP(D439,'Estratos SCX - ISA'!$A$3:$M$107,IF($D$421="A1",2,IF($D$421="A",5,IF($D$421="B",8,11))))+E439/(0.92*1000))))),IF(OR($D$415="",$D$421=""),"",IF(OR(D439&gt;$D$422,E439&gt;$D$423),"Rev. Total. abona.",IF(D439="",IF(E439="","",E439/(0.92*1000)),IF(OR($D$415="SAN CRISTOBAL",$D$415="FLOREANA"),VLOOKUP(D439,'Estratos SCY - FLO'!$O$4:$S$108,IF($D$421="A1",2,IF($D$421="A",3,IF($D$421="B",4,5))))+E439/(0.92*1000),VLOOKUP(D439,'Estratos SCX - ISA'!$O$4:$S$108,IF($D$421="A1",2,IF($D$421="A",3,IF($D$421="B",4,5))))+E439/(0.92*1000)))))))</f>
        <v/>
      </c>
      <c r="G439" s="59" t="str">
        <f t="shared" si="62"/>
        <v/>
      </c>
      <c r="H439" s="183"/>
      <c r="I439" s="183"/>
      <c r="J439" s="59" t="str">
        <f>IF(OR(H439="",$D$10="",$N$10=""),"",IF($D$10="COBRE",VLOOKUP(CDV_PROY_BT!H439,FDV!$B$16:$E$24,IF(CDV_PROY_BT!$N$10="3F",3,4),FALSE),IF($D$10="ACS",VLOOKUP(CDV_PROY_BT!H439,FDV!$B$10:$E$15,IF(CDV_PROY_BT!$N$10="3F",3,4),FALSE),IF($D$10="5005 (PREENSAMBLADO)",VLOOKUP(CDV_PROY_BT!H439,FDV!$B$4:$E$9,IF(CDV_PROY_BT!$N$10="3F",3,4),FALSE),VLOOKUP(CDV_PROY_BT!H439,FDV!$B$25:$E$30,IF(CDV_PROY_BT!$N$10="3F",3,4),FALSE)))))</f>
        <v/>
      </c>
      <c r="K439" s="63" t="str">
        <f t="shared" si="61"/>
        <v/>
      </c>
      <c r="L439" s="62" t="str">
        <f t="shared" si="63"/>
        <v/>
      </c>
      <c r="M439" s="62" t="str">
        <f t="shared" si="64"/>
        <v/>
      </c>
      <c r="N439" s="155"/>
      <c r="U439" s="138">
        <f t="shared" si="65"/>
        <v>0</v>
      </c>
      <c r="V439" s="138">
        <f t="shared" si="66"/>
        <v>0</v>
      </c>
    </row>
    <row r="440" spans="1:22" ht="15" hidden="1">
      <c r="A440" s="171"/>
      <c r="B440" s="172"/>
      <c r="C440" s="173"/>
      <c r="D440" s="173"/>
      <c r="E440" s="170"/>
      <c r="F440" s="58" t="str">
        <f>IF($N$417="","",IF($N$417="INDUSTRIAL",IF(OR($D$415="",$D$421=""),"",IF(OR(D440&gt;$D$422,E440&gt;$D$423),"Rev. Total. abona.",IF(D440="",IF(E440="","",E440/(0.92*1000)),IF(OR($D$415="SAN CRISTOBAL",$D$415="FLOREANA"),VLOOKUP(D440,'Estratos SCY - FLO'!$A$4:$M$108,IF($D$421="A1",2,IF($D$421="A",5,IF($D$421="B",8,11))))+E440/(0.92*1000),VLOOKUP(D440,'Estratos SCX - ISA'!$A$3:$M$107,IF($D$421="A1",2,IF($D$421="A",5,IF($D$421="B",8,11))))+E440/(0.92*1000))))),IF(OR($D$415="",$D$421=""),"",IF(OR(D440&gt;$D$422,E440&gt;$D$423),"Rev. Total. abona.",IF(D440="",IF(E440="","",E440/(0.92*1000)),IF(OR($D$415="SAN CRISTOBAL",$D$415="FLOREANA"),VLOOKUP(D440,'Estratos SCY - FLO'!$O$4:$S$108,IF($D$421="A1",2,IF($D$421="A",3,IF($D$421="B",4,5))))+E440/(0.92*1000),VLOOKUP(D440,'Estratos SCX - ISA'!$O$4:$S$108,IF($D$421="A1",2,IF($D$421="A",3,IF($D$421="B",4,5))))+E440/(0.92*1000)))))))</f>
        <v/>
      </c>
      <c r="G440" s="59" t="str">
        <f t="shared" si="62"/>
        <v/>
      </c>
      <c r="H440" s="183"/>
      <c r="I440" s="183"/>
      <c r="J440" s="59" t="str">
        <f>IF(OR(H440="",$D$10="",$N$10=""),"",IF($D$10="COBRE",VLOOKUP(CDV_PROY_BT!H440,FDV!$B$16:$E$24,IF(CDV_PROY_BT!$N$10="3F",3,4),FALSE),IF($D$10="ACS",VLOOKUP(CDV_PROY_BT!H440,FDV!$B$10:$E$15,IF(CDV_PROY_BT!$N$10="3F",3,4),FALSE),IF($D$10="5005 (PREENSAMBLADO)",VLOOKUP(CDV_PROY_BT!H440,FDV!$B$4:$E$9,IF(CDV_PROY_BT!$N$10="3F",3,4),FALSE),VLOOKUP(CDV_PROY_BT!H440,FDV!$B$25:$E$30,IF(CDV_PROY_BT!$N$10="3F",3,4),FALSE)))))</f>
        <v/>
      </c>
      <c r="K440" s="63" t="str">
        <f t="shared" si="61"/>
        <v/>
      </c>
      <c r="L440" s="62" t="str">
        <f t="shared" si="63"/>
        <v/>
      </c>
      <c r="M440" s="62" t="str">
        <f t="shared" si="64"/>
        <v/>
      </c>
      <c r="N440" s="155"/>
      <c r="U440" s="138">
        <f t="shared" si="65"/>
        <v>0</v>
      </c>
      <c r="V440" s="138">
        <f t="shared" si="66"/>
        <v>0</v>
      </c>
    </row>
    <row r="441" spans="1:22" ht="15" hidden="1">
      <c r="A441" s="167"/>
      <c r="B441" s="168"/>
      <c r="C441" s="169"/>
      <c r="D441" s="169"/>
      <c r="E441" s="174"/>
      <c r="F441" s="58" t="str">
        <f>IF($N$417="","",IF($N$417="INDUSTRIAL",IF(OR($D$415="",$D$421=""),"",IF(OR(D441&gt;$D$422,E441&gt;$D$423),"Rev. Total. abona.",IF(D441="",IF(E441="","",E441/(0.92*1000)),IF(OR($D$415="SAN CRISTOBAL",$D$415="FLOREANA"),VLOOKUP(D441,'Estratos SCY - FLO'!$A$4:$M$108,IF($D$421="A1",2,IF($D$421="A",5,IF($D$421="B",8,11))))+E441/(0.92*1000),VLOOKUP(D441,'Estratos SCX - ISA'!$A$3:$M$107,IF($D$421="A1",2,IF($D$421="A",5,IF($D$421="B",8,11))))+E441/(0.92*1000))))),IF(OR($D$415="",$D$421=""),"",IF(OR(D441&gt;$D$422,E441&gt;$D$423),"Rev. Total. abona.",IF(D441="",IF(E441="","",E441/(0.92*1000)),IF(OR($D$415="SAN CRISTOBAL",$D$415="FLOREANA"),VLOOKUP(D441,'Estratos SCY - FLO'!$O$4:$S$108,IF($D$421="A1",2,IF($D$421="A",3,IF($D$421="B",4,5))))+E441/(0.92*1000),VLOOKUP(D441,'Estratos SCX - ISA'!$O$4:$S$108,IF($D$421="A1",2,IF($D$421="A",3,IF($D$421="B",4,5))))+E441/(0.92*1000)))))))</f>
        <v/>
      </c>
      <c r="G441" s="59" t="str">
        <f t="shared" si="62"/>
        <v/>
      </c>
      <c r="H441" s="183"/>
      <c r="I441" s="183"/>
      <c r="J441" s="59" t="str">
        <f>IF(OR(H441="",$D$10="",$N$10=""),"",IF($D$10="COBRE",VLOOKUP(CDV_PROY_BT!H441,FDV!$B$16:$E$24,IF(CDV_PROY_BT!$N$10="3F",3,4),FALSE),IF($D$10="ACS",VLOOKUP(CDV_PROY_BT!H441,FDV!$B$10:$E$15,IF(CDV_PROY_BT!$N$10="3F",3,4),FALSE),IF($D$10="5005 (PREENSAMBLADO)",VLOOKUP(CDV_PROY_BT!H441,FDV!$B$4:$E$9,IF(CDV_PROY_BT!$N$10="3F",3,4),FALSE),VLOOKUP(CDV_PROY_BT!H441,FDV!$B$25:$E$30,IF(CDV_PROY_BT!$N$10="3F",3,4),FALSE)))))</f>
        <v/>
      </c>
      <c r="K441" s="63" t="str">
        <f t="shared" si="61"/>
        <v/>
      </c>
      <c r="L441" s="62" t="str">
        <f t="shared" si="63"/>
        <v/>
      </c>
      <c r="M441" s="62" t="str">
        <f t="shared" si="64"/>
        <v/>
      </c>
      <c r="N441" s="155"/>
      <c r="U441" s="138">
        <f t="shared" si="65"/>
        <v>0</v>
      </c>
      <c r="V441" s="138">
        <f t="shared" si="66"/>
        <v>0</v>
      </c>
    </row>
    <row r="442" spans="1:22" ht="15" hidden="1">
      <c r="A442" s="175"/>
      <c r="B442" s="176"/>
      <c r="C442" s="177"/>
      <c r="D442" s="177"/>
      <c r="E442" s="170"/>
      <c r="F442" s="58" t="str">
        <f>IF($N$417="","",IF($N$417="INDUSTRIAL",IF(OR($D$415="",$D$421=""),"",IF(OR(D442&gt;$D$422,E442&gt;$D$423),"Rev. Total. abona.",IF(D442="",IF(E442="","",E442/(0.92*1000)),IF(OR($D$415="SAN CRISTOBAL",$D$415="FLOREANA"),VLOOKUP(D442,'Estratos SCY - FLO'!$A$4:$M$108,IF($D$421="A1",2,IF($D$421="A",5,IF($D$421="B",8,11))))+E442/(0.92*1000),VLOOKUP(D442,'Estratos SCX - ISA'!$A$3:$M$107,IF($D$421="A1",2,IF($D$421="A",5,IF($D$421="B",8,11))))+E442/(0.92*1000))))),IF(OR($D$415="",$D$421=""),"",IF(OR(D442&gt;$D$422,E442&gt;$D$423),"Rev. Total. abona.",IF(D442="",IF(E442="","",E442/(0.92*1000)),IF(OR($D$415="SAN CRISTOBAL",$D$415="FLOREANA"),VLOOKUP(D442,'Estratos SCY - FLO'!$O$4:$S$108,IF($D$421="A1",2,IF($D$421="A",3,IF($D$421="B",4,5))))+E442/(0.92*1000),VLOOKUP(D442,'Estratos SCX - ISA'!$O$4:$S$108,IF($D$421="A1",2,IF($D$421="A",3,IF($D$421="B",4,5))))+E442/(0.92*1000)))))))</f>
        <v/>
      </c>
      <c r="G442" s="59" t="str">
        <f t="shared" si="62"/>
        <v/>
      </c>
      <c r="H442" s="183"/>
      <c r="I442" s="183"/>
      <c r="J442" s="59" t="str">
        <f>IF(OR(H442="",$D$10="",$N$10=""),"",IF($D$10="COBRE",VLOOKUP(CDV_PROY_BT!H442,FDV!$B$16:$E$24,IF(CDV_PROY_BT!$N$10="3F",3,4),FALSE),IF($D$10="ACS",VLOOKUP(CDV_PROY_BT!H442,FDV!$B$10:$E$15,IF(CDV_PROY_BT!$N$10="3F",3,4),FALSE),IF($D$10="5005 (PREENSAMBLADO)",VLOOKUP(CDV_PROY_BT!H442,FDV!$B$4:$E$9,IF(CDV_PROY_BT!$N$10="3F",3,4),FALSE),VLOOKUP(CDV_PROY_BT!H442,FDV!$B$25:$E$30,IF(CDV_PROY_BT!$N$10="3F",3,4),FALSE)))))</f>
        <v/>
      </c>
      <c r="K442" s="63" t="str">
        <f t="shared" si="61"/>
        <v/>
      </c>
      <c r="L442" s="62" t="str">
        <f t="shared" si="63"/>
        <v/>
      </c>
      <c r="M442" s="62" t="str">
        <f t="shared" si="64"/>
        <v/>
      </c>
      <c r="N442" s="155"/>
      <c r="U442" s="138">
        <f t="shared" si="65"/>
        <v>0</v>
      </c>
      <c r="V442" s="138">
        <f t="shared" si="66"/>
        <v>0</v>
      </c>
    </row>
    <row r="443" spans="1:22" ht="15" hidden="1">
      <c r="A443" s="167"/>
      <c r="B443" s="168"/>
      <c r="C443" s="169"/>
      <c r="D443" s="169"/>
      <c r="E443" s="170"/>
      <c r="F443" s="58" t="str">
        <f>IF($N$417="","",IF($N$417="INDUSTRIAL",IF(OR($D$415="",$D$421=""),"",IF(OR(D443&gt;$D$422,E443&gt;$D$423),"Rev. Total. abona.",IF(D443="",IF(E443="","",E443/(0.92*1000)),IF(OR($D$415="SAN CRISTOBAL",$D$415="FLOREANA"),VLOOKUP(D443,'Estratos SCY - FLO'!$A$4:$M$108,IF($D$421="A1",2,IF($D$421="A",5,IF($D$421="B",8,11))))+E443/(0.92*1000),VLOOKUP(D443,'Estratos SCX - ISA'!$A$3:$M$107,IF($D$421="A1",2,IF($D$421="A",5,IF($D$421="B",8,11))))+E443/(0.92*1000))))),IF(OR($D$415="",$D$421=""),"",IF(OR(D443&gt;$D$422,E443&gt;$D$423),"Rev. Total. abona.",IF(D443="",IF(E443="","",E443/(0.92*1000)),IF(OR($D$415="SAN CRISTOBAL",$D$415="FLOREANA"),VLOOKUP(D443,'Estratos SCY - FLO'!$O$4:$S$108,IF($D$421="A1",2,IF($D$421="A",3,IF($D$421="B",4,5))))+E443/(0.92*1000),VLOOKUP(D443,'Estratos SCX - ISA'!$O$4:$S$108,IF($D$421="A1",2,IF($D$421="A",3,IF($D$421="B",4,5))))+E443/(0.92*1000)))))))</f>
        <v/>
      </c>
      <c r="G443" s="59" t="str">
        <f t="shared" si="62"/>
        <v/>
      </c>
      <c r="H443" s="183"/>
      <c r="I443" s="183"/>
      <c r="J443" s="59" t="str">
        <f>IF(OR(H443="",$D$10="",$N$10=""),"",IF($D$10="COBRE",VLOOKUP(CDV_PROY_BT!H443,FDV!$B$16:$E$24,IF(CDV_PROY_BT!$N$10="3F",3,4),FALSE),IF($D$10="ACS",VLOOKUP(CDV_PROY_BT!H443,FDV!$B$10:$E$15,IF(CDV_PROY_BT!$N$10="3F",3,4),FALSE),IF($D$10="5005 (PREENSAMBLADO)",VLOOKUP(CDV_PROY_BT!H443,FDV!$B$4:$E$9,IF(CDV_PROY_BT!$N$10="3F",3,4),FALSE),VLOOKUP(CDV_PROY_BT!H443,FDV!$B$25:$E$30,IF(CDV_PROY_BT!$N$10="3F",3,4),FALSE)))))</f>
        <v/>
      </c>
      <c r="K443" s="63" t="str">
        <f t="shared" si="61"/>
        <v/>
      </c>
      <c r="L443" s="62" t="str">
        <f t="shared" si="63"/>
        <v/>
      </c>
      <c r="M443" s="62" t="str">
        <f t="shared" si="64"/>
        <v/>
      </c>
      <c r="N443" s="155"/>
      <c r="U443" s="138">
        <f t="shared" si="65"/>
        <v>0</v>
      </c>
      <c r="V443" s="138">
        <f t="shared" si="66"/>
        <v>0</v>
      </c>
    </row>
    <row r="444" spans="1:22" ht="15" hidden="1">
      <c r="A444" s="167"/>
      <c r="B444" s="168"/>
      <c r="C444" s="169"/>
      <c r="D444" s="169"/>
      <c r="E444" s="170"/>
      <c r="F444" s="58" t="str">
        <f>IF($N$417="","",IF($N$417="INDUSTRIAL",IF(OR($D$415="",$D$421=""),"",IF(OR(D444&gt;$D$422,E444&gt;$D$423),"Rev. Total. abona.",IF(D444="",IF(E444="","",E444/(0.92*1000)),IF(OR($D$415="SAN CRISTOBAL",$D$415="FLOREANA"),VLOOKUP(D444,'Estratos SCY - FLO'!$A$4:$M$108,IF($D$421="A1",2,IF($D$421="A",5,IF($D$421="B",8,11))))+E444/(0.92*1000),VLOOKUP(D444,'Estratos SCX - ISA'!$A$3:$M$107,IF($D$421="A1",2,IF($D$421="A",5,IF($D$421="B",8,11))))+E444/(0.92*1000))))),IF(OR($D$415="",$D$421=""),"",IF(OR(D444&gt;$D$422,E444&gt;$D$423),"Rev. Total. abona.",IF(D444="",IF(E444="","",E444/(0.92*1000)),IF(OR($D$415="SAN CRISTOBAL",$D$415="FLOREANA"),VLOOKUP(D444,'Estratos SCY - FLO'!$O$4:$S$108,IF($D$421="A1",2,IF($D$421="A",3,IF($D$421="B",4,5))))+E444/(0.92*1000),VLOOKUP(D444,'Estratos SCX - ISA'!$O$4:$S$108,IF($D$421="A1",2,IF($D$421="A",3,IF($D$421="B",4,5))))+E444/(0.92*1000)))))))</f>
        <v/>
      </c>
      <c r="G444" s="59" t="str">
        <f t="shared" si="62"/>
        <v/>
      </c>
      <c r="H444" s="183"/>
      <c r="I444" s="183"/>
      <c r="J444" s="59" t="str">
        <f>IF(OR(H444="",$D$10="",$N$10=""),"",IF($D$10="COBRE",VLOOKUP(CDV_PROY_BT!H444,FDV!$B$16:$E$24,IF(CDV_PROY_BT!$N$10="3F",3,4),FALSE),IF($D$10="ACS",VLOOKUP(CDV_PROY_BT!H444,FDV!$B$10:$E$15,IF(CDV_PROY_BT!$N$10="3F",3,4),FALSE),IF($D$10="5005 (PREENSAMBLADO)",VLOOKUP(CDV_PROY_BT!H444,FDV!$B$4:$E$9,IF(CDV_PROY_BT!$N$10="3F",3,4),FALSE),VLOOKUP(CDV_PROY_BT!H444,FDV!$B$25:$E$30,IF(CDV_PROY_BT!$N$10="3F",3,4),FALSE)))))</f>
        <v/>
      </c>
      <c r="K444" s="63" t="str">
        <f t="shared" si="61"/>
        <v/>
      </c>
      <c r="L444" s="62" t="str">
        <f t="shared" si="63"/>
        <v/>
      </c>
      <c r="M444" s="62" t="str">
        <f t="shared" si="64"/>
        <v/>
      </c>
      <c r="N444" s="155"/>
      <c r="U444" s="138">
        <f t="shared" si="65"/>
        <v>0</v>
      </c>
      <c r="V444" s="138">
        <f t="shared" si="66"/>
        <v>0</v>
      </c>
    </row>
    <row r="445" spans="1:22" ht="15" hidden="1">
      <c r="A445" s="167"/>
      <c r="B445" s="168"/>
      <c r="C445" s="169"/>
      <c r="D445" s="169"/>
      <c r="E445" s="170"/>
      <c r="F445" s="58" t="str">
        <f>IF($N$417="","",IF($N$417="INDUSTRIAL",IF(OR($D$415="",$D$421=""),"",IF(OR(D445&gt;$D$422,E445&gt;$D$423),"Rev. Total. abona.",IF(D445="",IF(E445="","",E445/(0.92*1000)),IF(OR($D$415="SAN CRISTOBAL",$D$415="FLOREANA"),VLOOKUP(D445,'Estratos SCY - FLO'!$A$4:$M$108,IF($D$421="A1",2,IF($D$421="A",5,IF($D$421="B",8,11))))+E445/(0.92*1000),VLOOKUP(D445,'Estratos SCX - ISA'!$A$3:$M$107,IF($D$421="A1",2,IF($D$421="A",5,IF($D$421="B",8,11))))+E445/(0.92*1000))))),IF(OR($D$415="",$D$421=""),"",IF(OR(D445&gt;$D$422,E445&gt;$D$423),"Rev. Total. abona.",IF(D445="",IF(E445="","",E445/(0.92*1000)),IF(OR($D$415="SAN CRISTOBAL",$D$415="FLOREANA"),VLOOKUP(D445,'Estratos SCY - FLO'!$O$4:$S$108,IF($D$421="A1",2,IF($D$421="A",3,IF($D$421="B",4,5))))+E445/(0.92*1000),VLOOKUP(D445,'Estratos SCX - ISA'!$O$4:$S$108,IF($D$421="A1",2,IF($D$421="A",3,IF($D$421="B",4,5))))+E445/(0.92*1000)))))))</f>
        <v/>
      </c>
      <c r="G445" s="59" t="str">
        <f t="shared" si="62"/>
        <v/>
      </c>
      <c r="H445" s="183"/>
      <c r="I445" s="183"/>
      <c r="J445" s="59" t="str">
        <f>IF(OR(H445="",$D$10="",$N$10=""),"",IF($D$10="COBRE",VLOOKUP(CDV_PROY_BT!H445,FDV!$B$16:$E$24,IF(CDV_PROY_BT!$N$10="3F",3,4),FALSE),IF($D$10="ACS",VLOOKUP(CDV_PROY_BT!H445,FDV!$B$10:$E$15,IF(CDV_PROY_BT!$N$10="3F",3,4),FALSE),IF($D$10="5005 (PREENSAMBLADO)",VLOOKUP(CDV_PROY_BT!H445,FDV!$B$4:$E$9,IF(CDV_PROY_BT!$N$10="3F",3,4),FALSE),VLOOKUP(CDV_PROY_BT!H445,FDV!$B$25:$E$30,IF(CDV_PROY_BT!$N$10="3F",3,4),FALSE)))))</f>
        <v/>
      </c>
      <c r="K445" s="63" t="str">
        <f t="shared" si="61"/>
        <v/>
      </c>
      <c r="L445" s="62" t="str">
        <f t="shared" si="63"/>
        <v/>
      </c>
      <c r="M445" s="62" t="str">
        <f t="shared" si="64"/>
        <v/>
      </c>
      <c r="N445" s="155"/>
      <c r="U445" s="138">
        <f t="shared" si="65"/>
        <v>0</v>
      </c>
      <c r="V445" s="138">
        <f t="shared" si="66"/>
        <v>0</v>
      </c>
    </row>
    <row r="446" spans="1:22" ht="15" hidden="1">
      <c r="A446" s="167"/>
      <c r="B446" s="168"/>
      <c r="C446" s="169"/>
      <c r="D446" s="169"/>
      <c r="E446" s="170"/>
      <c r="F446" s="58" t="str">
        <f>IF($N$417="","",IF($N$417="INDUSTRIAL",IF(OR($D$415="",$D$421=""),"",IF(OR(D446&gt;$D$422,E446&gt;$D$423),"Rev. Total. abona.",IF(D446="",IF(E446="","",E446/(0.92*1000)),IF(OR($D$415="SAN CRISTOBAL",$D$415="FLOREANA"),VLOOKUP(D446,'Estratos SCY - FLO'!$A$4:$M$108,IF($D$421="A1",2,IF($D$421="A",5,IF($D$421="B",8,11))))+E446/(0.92*1000),VLOOKUP(D446,'Estratos SCX - ISA'!$A$3:$M$107,IF($D$421="A1",2,IF($D$421="A",5,IF($D$421="B",8,11))))+E446/(0.92*1000))))),IF(OR($D$415="",$D$421=""),"",IF(OR(D446&gt;$D$422,E446&gt;$D$423),"Rev. Total. abona.",IF(D446="",IF(E446="","",E446/(0.92*1000)),IF(OR($D$415="SAN CRISTOBAL",$D$415="FLOREANA"),VLOOKUP(D446,'Estratos SCY - FLO'!$O$4:$S$108,IF($D$421="A1",2,IF($D$421="A",3,IF($D$421="B",4,5))))+E446/(0.92*1000),VLOOKUP(D446,'Estratos SCX - ISA'!$O$4:$S$108,IF($D$421="A1",2,IF($D$421="A",3,IF($D$421="B",4,5))))+E446/(0.92*1000)))))))</f>
        <v/>
      </c>
      <c r="G446" s="59" t="str">
        <f t="shared" si="62"/>
        <v/>
      </c>
      <c r="H446" s="183"/>
      <c r="I446" s="183"/>
      <c r="J446" s="59" t="str">
        <f>IF(OR(H446="",$D$10="",$N$10=""),"",IF($D$10="COBRE",VLOOKUP(CDV_PROY_BT!H446,FDV!$B$16:$E$24,IF(CDV_PROY_BT!$N$10="3F",3,4),FALSE),IF($D$10="ACS",VLOOKUP(CDV_PROY_BT!H446,FDV!$B$10:$E$15,IF(CDV_PROY_BT!$N$10="3F",3,4),FALSE),IF($D$10="5005 (PREENSAMBLADO)",VLOOKUP(CDV_PROY_BT!H446,FDV!$B$4:$E$9,IF(CDV_PROY_BT!$N$10="3F",3,4),FALSE),VLOOKUP(CDV_PROY_BT!H446,FDV!$B$25:$E$30,IF(CDV_PROY_BT!$N$10="3F",3,4),FALSE)))))</f>
        <v/>
      </c>
      <c r="K446" s="63" t="str">
        <f t="shared" si="61"/>
        <v/>
      </c>
      <c r="L446" s="62" t="str">
        <f t="shared" si="63"/>
        <v/>
      </c>
      <c r="M446" s="62" t="str">
        <f t="shared" si="64"/>
        <v/>
      </c>
      <c r="N446" s="155"/>
      <c r="U446" s="138">
        <f t="shared" si="65"/>
        <v>0</v>
      </c>
      <c r="V446" s="138">
        <f t="shared" si="66"/>
        <v>0</v>
      </c>
    </row>
    <row r="447" spans="1:22" ht="15" hidden="1">
      <c r="A447" s="167"/>
      <c r="B447" s="168"/>
      <c r="C447" s="169"/>
      <c r="D447" s="169"/>
      <c r="E447" s="170"/>
      <c r="F447" s="58" t="str">
        <f>IF($N$417="","",IF($N$417="INDUSTRIAL",IF(OR($D$415="",$D$421=""),"",IF(OR(D447&gt;$D$422,E447&gt;$D$423),"Rev. Total. abona.",IF(D447="",IF(E447="","",E447/(0.92*1000)),IF(OR($D$415="SAN CRISTOBAL",$D$415="FLOREANA"),VLOOKUP(D447,'Estratos SCY - FLO'!$A$4:$M$108,IF($D$421="A1",2,IF($D$421="A",5,IF($D$421="B",8,11))))+E447/(0.92*1000),VLOOKUP(D447,'Estratos SCX - ISA'!$A$3:$M$107,IF($D$421="A1",2,IF($D$421="A",5,IF($D$421="B",8,11))))+E447/(0.92*1000))))),IF(OR($D$415="",$D$421=""),"",IF(OR(D447&gt;$D$422,E447&gt;$D$423),"Rev. Total. abona.",IF(D447="",IF(E447="","",E447/(0.92*1000)),IF(OR($D$415="SAN CRISTOBAL",$D$415="FLOREANA"),VLOOKUP(D447,'Estratos SCY - FLO'!$O$4:$S$108,IF($D$421="A1",2,IF($D$421="A",3,IF($D$421="B",4,5))))+E447/(0.92*1000),VLOOKUP(D447,'Estratos SCX - ISA'!$O$4:$S$108,IF($D$421="A1",2,IF($D$421="A",3,IF($D$421="B",4,5))))+E447/(0.92*1000)))))))</f>
        <v/>
      </c>
      <c r="G447" s="59" t="str">
        <f t="shared" si="62"/>
        <v/>
      </c>
      <c r="H447" s="183"/>
      <c r="I447" s="183"/>
      <c r="J447" s="59" t="str">
        <f>IF(OR(H447="",$D$10="",$N$10=""),"",IF($D$10="COBRE",VLOOKUP(CDV_PROY_BT!H447,FDV!$B$16:$E$24,IF(CDV_PROY_BT!$N$10="3F",3,4),FALSE),IF($D$10="ACS",VLOOKUP(CDV_PROY_BT!H447,FDV!$B$10:$E$15,IF(CDV_PROY_BT!$N$10="3F",3,4),FALSE),IF($D$10="5005 (PREENSAMBLADO)",VLOOKUP(CDV_PROY_BT!H447,FDV!$B$4:$E$9,IF(CDV_PROY_BT!$N$10="3F",3,4),FALSE),VLOOKUP(CDV_PROY_BT!H447,FDV!$B$25:$E$30,IF(CDV_PROY_BT!$N$10="3F",3,4),FALSE)))))</f>
        <v/>
      </c>
      <c r="K447" s="63" t="str">
        <f t="shared" si="61"/>
        <v/>
      </c>
      <c r="L447" s="62" t="str">
        <f t="shared" si="63"/>
        <v/>
      </c>
      <c r="M447" s="62" t="str">
        <f t="shared" si="64"/>
        <v/>
      </c>
      <c r="N447" s="155"/>
      <c r="U447" s="138">
        <f t="shared" si="65"/>
        <v>0</v>
      </c>
      <c r="V447" s="138">
        <f t="shared" si="66"/>
        <v>0</v>
      </c>
    </row>
    <row r="448" spans="1:22" ht="15" hidden="1">
      <c r="A448" s="167"/>
      <c r="B448" s="168"/>
      <c r="C448" s="169"/>
      <c r="D448" s="169"/>
      <c r="E448" s="170"/>
      <c r="F448" s="58" t="str">
        <f>IF($N$417="","",IF($N$417="INDUSTRIAL",IF(OR($D$415="",$D$421=""),"",IF(OR(D448&gt;$D$422,E448&gt;$D$423),"Rev. Total. abona.",IF(D448="",IF(E448="","",E448/(0.92*1000)),IF(OR($D$415="SAN CRISTOBAL",$D$415="FLOREANA"),VLOOKUP(D448,'Estratos SCY - FLO'!$A$4:$M$108,IF($D$421="A1",2,IF($D$421="A",5,IF($D$421="B",8,11))))+E448/(0.92*1000),VLOOKUP(D448,'Estratos SCX - ISA'!$A$3:$M$107,IF($D$421="A1",2,IF($D$421="A",5,IF($D$421="B",8,11))))+E448/(0.92*1000))))),IF(OR($D$415="",$D$421=""),"",IF(OR(D448&gt;$D$422,E448&gt;$D$423),"Rev. Total. abona.",IF(D448="",IF(E448="","",E448/(0.92*1000)),IF(OR($D$415="SAN CRISTOBAL",$D$415="FLOREANA"),VLOOKUP(D448,'Estratos SCY - FLO'!$O$4:$S$108,IF($D$421="A1",2,IF($D$421="A",3,IF($D$421="B",4,5))))+E448/(0.92*1000),VLOOKUP(D448,'Estratos SCX - ISA'!$O$4:$S$108,IF($D$421="A1",2,IF($D$421="A",3,IF($D$421="B",4,5))))+E448/(0.92*1000)))))))</f>
        <v/>
      </c>
      <c r="G448" s="59" t="str">
        <f t="shared" si="62"/>
        <v/>
      </c>
      <c r="H448" s="183"/>
      <c r="I448" s="183"/>
      <c r="J448" s="59" t="str">
        <f>IF(OR(H448="",$D$10="",$N$10=""),"",IF($D$10="COBRE",VLOOKUP(CDV_PROY_BT!H448,FDV!$B$16:$E$24,IF(CDV_PROY_BT!$N$10="3F",3,4),FALSE),IF($D$10="ACS",VLOOKUP(CDV_PROY_BT!H448,FDV!$B$10:$E$15,IF(CDV_PROY_BT!$N$10="3F",3,4),FALSE),IF($D$10="5005 (PREENSAMBLADO)",VLOOKUP(CDV_PROY_BT!H448,FDV!$B$4:$E$9,IF(CDV_PROY_BT!$N$10="3F",3,4),FALSE),VLOOKUP(CDV_PROY_BT!H448,FDV!$B$25:$E$30,IF(CDV_PROY_BT!$N$10="3F",3,4),FALSE)))))</f>
        <v/>
      </c>
      <c r="K448" s="63" t="str">
        <f t="shared" si="61"/>
        <v/>
      </c>
      <c r="L448" s="62" t="str">
        <f t="shared" si="63"/>
        <v/>
      </c>
      <c r="M448" s="62" t="str">
        <f t="shared" si="64"/>
        <v/>
      </c>
      <c r="N448" s="155"/>
      <c r="U448" s="138">
        <f t="shared" si="65"/>
        <v>0</v>
      </c>
      <c r="V448" s="138">
        <f t="shared" si="66"/>
        <v>0</v>
      </c>
    </row>
    <row r="449" spans="1:22" ht="15" hidden="1">
      <c r="A449" s="167"/>
      <c r="B449" s="168"/>
      <c r="C449" s="169"/>
      <c r="D449" s="169"/>
      <c r="E449" s="170"/>
      <c r="F449" s="58" t="str">
        <f>IF($N$417="","",IF($N$417="INDUSTRIAL",IF(OR($D$415="",$D$421=""),"",IF(OR(D449&gt;$D$422,E449&gt;$D$423),"Rev. Total. abona.",IF(D449="",IF(E449="","",E449/(0.92*1000)),IF(OR($D$415="SAN CRISTOBAL",$D$415="FLOREANA"),VLOOKUP(D449,'Estratos SCY - FLO'!$A$4:$M$108,IF($D$421="A1",2,IF($D$421="A",5,IF($D$421="B",8,11))))+E449/(0.92*1000),VLOOKUP(D449,'Estratos SCX - ISA'!$A$3:$M$107,IF($D$421="A1",2,IF($D$421="A",5,IF($D$421="B",8,11))))+E449/(0.92*1000))))),IF(OR($D$415="",$D$421=""),"",IF(OR(D449&gt;$D$422,E449&gt;$D$423),"Rev. Total. abona.",IF(D449="",IF(E449="","",E449/(0.92*1000)),IF(OR($D$415="SAN CRISTOBAL",$D$415="FLOREANA"),VLOOKUP(D449,'Estratos SCY - FLO'!$O$4:$S$108,IF($D$421="A1",2,IF($D$421="A",3,IF($D$421="B",4,5))))+E449/(0.92*1000),VLOOKUP(D449,'Estratos SCX - ISA'!$O$4:$S$108,IF($D$421="A1",2,IF($D$421="A",3,IF($D$421="B",4,5))))+E449/(0.92*1000)))))))</f>
        <v/>
      </c>
      <c r="G449" s="59" t="str">
        <f t="shared" si="62"/>
        <v/>
      </c>
      <c r="H449" s="183"/>
      <c r="I449" s="183"/>
      <c r="J449" s="59" t="str">
        <f>IF(OR(H449="",$D$10="",$N$10=""),"",IF($D$10="COBRE",VLOOKUP(CDV_PROY_BT!H449,FDV!$B$16:$E$24,IF(CDV_PROY_BT!$N$10="3F",3,4),FALSE),IF($D$10="ACS",VLOOKUP(CDV_PROY_BT!H449,FDV!$B$10:$E$15,IF(CDV_PROY_BT!$N$10="3F",3,4),FALSE),IF($D$10="5005 (PREENSAMBLADO)",VLOOKUP(CDV_PROY_BT!H449,FDV!$B$4:$E$9,IF(CDV_PROY_BT!$N$10="3F",3,4),FALSE),VLOOKUP(CDV_PROY_BT!H449,FDV!$B$25:$E$30,IF(CDV_PROY_BT!$N$10="3F",3,4),FALSE)))))</f>
        <v/>
      </c>
      <c r="K449" s="63" t="str">
        <f t="shared" si="61"/>
        <v/>
      </c>
      <c r="L449" s="62" t="str">
        <f t="shared" si="63"/>
        <v/>
      </c>
      <c r="M449" s="62" t="str">
        <f t="shared" si="64"/>
        <v/>
      </c>
      <c r="N449" s="155"/>
      <c r="U449" s="138">
        <f t="shared" si="65"/>
        <v>0</v>
      </c>
      <c r="V449" s="138">
        <f t="shared" si="66"/>
        <v>0</v>
      </c>
    </row>
    <row r="450" spans="1:22" ht="15" hidden="1">
      <c r="A450" s="167"/>
      <c r="B450" s="168"/>
      <c r="C450" s="169"/>
      <c r="D450" s="169"/>
      <c r="E450" s="170"/>
      <c r="F450" s="58" t="str">
        <f>IF($N$417="","",IF($N$417="INDUSTRIAL",IF(OR($D$415="",$D$421=""),"",IF(OR(D450&gt;$D$422,E450&gt;$D$423),"Rev. Total. abona.",IF(D450="",IF(E450="","",E450/(0.92*1000)),IF(OR($D$415="SAN CRISTOBAL",$D$415="FLOREANA"),VLOOKUP(D450,'Estratos SCY - FLO'!$A$4:$M$108,IF($D$421="A1",2,IF($D$421="A",5,IF($D$421="B",8,11))))+E450/(0.92*1000),VLOOKUP(D450,'Estratos SCX - ISA'!$A$3:$M$107,IF($D$421="A1",2,IF($D$421="A",5,IF($D$421="B",8,11))))+E450/(0.92*1000))))),IF(OR($D$415="",$D$421=""),"",IF(OR(D450&gt;$D$422,E450&gt;$D$423),"Rev. Total. abona.",IF(D450="",IF(E450="","",E450/(0.92*1000)),IF(OR($D$415="SAN CRISTOBAL",$D$415="FLOREANA"),VLOOKUP(D450,'Estratos SCY - FLO'!$O$4:$S$108,IF($D$421="A1",2,IF($D$421="A",3,IF($D$421="B",4,5))))+E450/(0.92*1000),VLOOKUP(D450,'Estratos SCX - ISA'!$O$4:$S$108,IF($D$421="A1",2,IF($D$421="A",3,IF($D$421="B",4,5))))+E450/(0.92*1000)))))))</f>
        <v/>
      </c>
      <c r="G450" s="59" t="str">
        <f t="shared" si="62"/>
        <v/>
      </c>
      <c r="H450" s="183"/>
      <c r="I450" s="183"/>
      <c r="J450" s="59" t="str">
        <f>IF(OR(H450="",$D$10="",$N$10=""),"",IF($D$10="COBRE",VLOOKUP(CDV_PROY_BT!H450,FDV!$B$16:$E$24,IF(CDV_PROY_BT!$N$10="3F",3,4),FALSE),IF($D$10="ACS",VLOOKUP(CDV_PROY_BT!H450,FDV!$B$10:$E$15,IF(CDV_PROY_BT!$N$10="3F",3,4),FALSE),IF($D$10="5005 (PREENSAMBLADO)",VLOOKUP(CDV_PROY_BT!H450,FDV!$B$4:$E$9,IF(CDV_PROY_BT!$N$10="3F",3,4),FALSE),VLOOKUP(CDV_PROY_BT!H450,FDV!$B$25:$E$30,IF(CDV_PROY_BT!$N$10="3F",3,4),FALSE)))))</f>
        <v/>
      </c>
      <c r="K450" s="63" t="str">
        <f t="shared" si="61"/>
        <v/>
      </c>
      <c r="L450" s="62" t="str">
        <f t="shared" si="63"/>
        <v/>
      </c>
      <c r="M450" s="62" t="str">
        <f t="shared" si="64"/>
        <v/>
      </c>
      <c r="N450" s="155"/>
      <c r="U450" s="138">
        <f t="shared" si="65"/>
        <v>0</v>
      </c>
      <c r="V450" s="138">
        <f t="shared" si="66"/>
        <v>0</v>
      </c>
    </row>
    <row r="451" spans="1:22" ht="15" hidden="1">
      <c r="A451" s="167"/>
      <c r="B451" s="168"/>
      <c r="C451" s="169"/>
      <c r="D451" s="169"/>
      <c r="E451" s="170"/>
      <c r="F451" s="58" t="str">
        <f>IF($N$417="","",IF($N$417="INDUSTRIAL",IF(OR($D$415="",$D$421=""),"",IF(OR(D451&gt;$D$422,E451&gt;$D$423),"Rev. Total. abona.",IF(D451="",IF(E451="","",E451/(0.92*1000)),IF(OR($D$415="SAN CRISTOBAL",$D$415="FLOREANA"),VLOOKUP(D451,'Estratos SCY - FLO'!$A$4:$M$108,IF($D$421="A1",2,IF($D$421="A",5,IF($D$421="B",8,11))))+E451/(0.92*1000),VLOOKUP(D451,'Estratos SCX - ISA'!$A$3:$M$107,IF($D$421="A1",2,IF($D$421="A",5,IF($D$421="B",8,11))))+E451/(0.92*1000))))),IF(OR($D$415="",$D$421=""),"",IF(OR(D451&gt;$D$422,E451&gt;$D$423),"Rev. Total. abona.",IF(D451="",IF(E451="","",E451/(0.92*1000)),IF(OR($D$415="SAN CRISTOBAL",$D$415="FLOREANA"),VLOOKUP(D451,'Estratos SCY - FLO'!$O$4:$S$108,IF($D$421="A1",2,IF($D$421="A",3,IF($D$421="B",4,5))))+E451/(0.92*1000),VLOOKUP(D451,'Estratos SCX - ISA'!$O$4:$S$108,IF($D$421="A1",2,IF($D$421="A",3,IF($D$421="B",4,5))))+E451/(0.92*1000)))))))</f>
        <v/>
      </c>
      <c r="G451" s="59" t="str">
        <f t="shared" si="62"/>
        <v/>
      </c>
      <c r="H451" s="183"/>
      <c r="I451" s="183"/>
      <c r="J451" s="59" t="str">
        <f>IF(OR(H451="",$D$10="",$N$10=""),"",IF($D$10="COBRE",VLOOKUP(CDV_PROY_BT!H451,FDV!$B$16:$E$24,IF(CDV_PROY_BT!$N$10="3F",3,4),FALSE),IF($D$10="ACS",VLOOKUP(CDV_PROY_BT!H451,FDV!$B$10:$E$15,IF(CDV_PROY_BT!$N$10="3F",3,4),FALSE),IF($D$10="5005 (PREENSAMBLADO)",VLOOKUP(CDV_PROY_BT!H451,FDV!$B$4:$E$9,IF(CDV_PROY_BT!$N$10="3F",3,4),FALSE),VLOOKUP(CDV_PROY_BT!H451,FDV!$B$25:$E$30,IF(CDV_PROY_BT!$N$10="3F",3,4),FALSE)))))</f>
        <v/>
      </c>
      <c r="K451" s="63" t="str">
        <f t="shared" si="61"/>
        <v/>
      </c>
      <c r="L451" s="62" t="str">
        <f t="shared" si="63"/>
        <v/>
      </c>
      <c r="M451" s="62" t="str">
        <f t="shared" si="64"/>
        <v/>
      </c>
      <c r="N451" s="155"/>
      <c r="U451" s="138">
        <f t="shared" si="65"/>
        <v>0</v>
      </c>
      <c r="V451" s="138">
        <f t="shared" si="66"/>
        <v>0</v>
      </c>
    </row>
    <row r="452" spans="1:22" ht="15" hidden="1">
      <c r="A452" s="167"/>
      <c r="B452" s="168"/>
      <c r="C452" s="169"/>
      <c r="D452" s="169"/>
      <c r="E452" s="170"/>
      <c r="F452" s="58" t="str">
        <f>IF($N$417="","",IF($N$417="INDUSTRIAL",IF(OR($D$415="",$D$421=""),"",IF(OR(D452&gt;$D$422,E452&gt;$D$423),"Rev. Total. abona.",IF(D452="",IF(E452="","",E452/(0.92*1000)),IF(OR($D$415="SAN CRISTOBAL",$D$415="FLOREANA"),VLOOKUP(D452,'Estratos SCY - FLO'!$A$4:$M$108,IF($D$421="A1",2,IF($D$421="A",5,IF($D$421="B",8,11))))+E452/(0.92*1000),VLOOKUP(D452,'Estratos SCX - ISA'!$A$3:$M$107,IF($D$421="A1",2,IF($D$421="A",5,IF($D$421="B",8,11))))+E452/(0.92*1000))))),IF(OR($D$415="",$D$421=""),"",IF(OR(D452&gt;$D$422,E452&gt;$D$423),"Rev. Total. abona.",IF(D452="",IF(E452="","",E452/(0.92*1000)),IF(OR($D$415="SAN CRISTOBAL",$D$415="FLOREANA"),VLOOKUP(D452,'Estratos SCY - FLO'!$O$4:$S$108,IF($D$421="A1",2,IF($D$421="A",3,IF($D$421="B",4,5))))+E452/(0.92*1000),VLOOKUP(D452,'Estratos SCX - ISA'!$O$4:$S$108,IF($D$421="A1",2,IF($D$421="A",3,IF($D$421="B",4,5))))+E452/(0.92*1000)))))))</f>
        <v/>
      </c>
      <c r="G452" s="59" t="str">
        <f t="shared" si="62"/>
        <v/>
      </c>
      <c r="H452" s="183"/>
      <c r="I452" s="183"/>
      <c r="J452" s="59" t="str">
        <f>IF(OR(H452="",$D$10="",$N$10=""),"",IF($D$10="COBRE",VLOOKUP(CDV_PROY_BT!H452,FDV!$B$16:$E$24,IF(CDV_PROY_BT!$N$10="3F",3,4),FALSE),IF($D$10="ACS",VLOOKUP(CDV_PROY_BT!H452,FDV!$B$10:$E$15,IF(CDV_PROY_BT!$N$10="3F",3,4),FALSE),IF($D$10="5005 (PREENSAMBLADO)",VLOOKUP(CDV_PROY_BT!H452,FDV!$B$4:$E$9,IF(CDV_PROY_BT!$N$10="3F",3,4),FALSE),VLOOKUP(CDV_PROY_BT!H452,FDV!$B$25:$E$30,IF(CDV_PROY_BT!$N$10="3F",3,4),FALSE)))))</f>
        <v/>
      </c>
      <c r="K452" s="63" t="str">
        <f t="shared" si="61"/>
        <v/>
      </c>
      <c r="L452" s="62" t="str">
        <f t="shared" si="63"/>
        <v/>
      </c>
      <c r="M452" s="62" t="str">
        <f t="shared" si="64"/>
        <v/>
      </c>
      <c r="N452" s="155"/>
      <c r="U452" s="138">
        <f t="shared" si="65"/>
        <v>0</v>
      </c>
      <c r="V452" s="138">
        <f t="shared" si="66"/>
        <v>0</v>
      </c>
    </row>
    <row r="453" spans="1:22" ht="15" hidden="1">
      <c r="A453" s="167"/>
      <c r="B453" s="168"/>
      <c r="C453" s="169"/>
      <c r="D453" s="169"/>
      <c r="E453" s="170"/>
      <c r="F453" s="58" t="str">
        <f>IF($N$417="","",IF($N$417="INDUSTRIAL",IF(OR($D$415="",$D$421=""),"",IF(OR(D453&gt;$D$422,E453&gt;$D$423),"Rev. Total. abona.",IF(D453="",IF(E453="","",E453/(0.92*1000)),IF(OR($D$415="SAN CRISTOBAL",$D$415="FLOREANA"),VLOOKUP(D453,'Estratos SCY - FLO'!$A$4:$M$108,IF($D$421="A1",2,IF($D$421="A",5,IF($D$421="B",8,11))))+E453/(0.92*1000),VLOOKUP(D453,'Estratos SCX - ISA'!$A$3:$M$107,IF($D$421="A1",2,IF($D$421="A",5,IF($D$421="B",8,11))))+E453/(0.92*1000))))),IF(OR($D$415="",$D$421=""),"",IF(OR(D453&gt;$D$422,E453&gt;$D$423),"Rev. Total. abona.",IF(D453="",IF(E453="","",E453/(0.92*1000)),IF(OR($D$415="SAN CRISTOBAL",$D$415="FLOREANA"),VLOOKUP(D453,'Estratos SCY - FLO'!$O$4:$S$108,IF($D$421="A1",2,IF($D$421="A",3,IF($D$421="B",4,5))))+E453/(0.92*1000),VLOOKUP(D453,'Estratos SCX - ISA'!$O$4:$S$108,IF($D$421="A1",2,IF($D$421="A",3,IF($D$421="B",4,5))))+E453/(0.92*1000)))))))</f>
        <v/>
      </c>
      <c r="G453" s="59" t="str">
        <f t="shared" si="62"/>
        <v/>
      </c>
      <c r="H453" s="183"/>
      <c r="I453" s="183"/>
      <c r="J453" s="59" t="str">
        <f>IF(OR(H453="",$D$10="",$N$10=""),"",IF($D$10="COBRE",VLOOKUP(CDV_PROY_BT!H453,FDV!$B$16:$E$24,IF(CDV_PROY_BT!$N$10="3F",3,4),FALSE),IF($D$10="ACS",VLOOKUP(CDV_PROY_BT!H453,FDV!$B$10:$E$15,IF(CDV_PROY_BT!$N$10="3F",3,4),FALSE),IF($D$10="5005 (PREENSAMBLADO)",VLOOKUP(CDV_PROY_BT!H453,FDV!$B$4:$E$9,IF(CDV_PROY_BT!$N$10="3F",3,4),FALSE),VLOOKUP(CDV_PROY_BT!H453,FDV!$B$25:$E$30,IF(CDV_PROY_BT!$N$10="3F",3,4),FALSE)))))</f>
        <v/>
      </c>
      <c r="K453" s="63" t="str">
        <f t="shared" si="61"/>
        <v/>
      </c>
      <c r="L453" s="62" t="str">
        <f t="shared" si="63"/>
        <v/>
      </c>
      <c r="M453" s="62" t="str">
        <f t="shared" si="64"/>
        <v/>
      </c>
      <c r="N453" s="155"/>
      <c r="U453" s="138">
        <f t="shared" si="65"/>
        <v>0</v>
      </c>
      <c r="V453" s="138">
        <f t="shared" si="66"/>
        <v>0</v>
      </c>
    </row>
    <row r="454" spans="1:22" ht="15" hidden="1">
      <c r="A454" s="167"/>
      <c r="B454" s="168"/>
      <c r="C454" s="169"/>
      <c r="D454" s="169"/>
      <c r="E454" s="170"/>
      <c r="F454" s="58" t="str">
        <f>IF($N$417="","",IF($N$417="INDUSTRIAL",IF(OR($D$415="",$D$421=""),"",IF(OR(D454&gt;$D$422,E454&gt;$D$423),"Rev. Total. abona.",IF(D454="",IF(E454="","",E454/(0.92*1000)),IF(OR($D$415="SAN CRISTOBAL",$D$415="FLOREANA"),VLOOKUP(D454,'Estratos SCY - FLO'!$A$4:$M$108,IF($D$421="A1",2,IF($D$421="A",5,IF($D$421="B",8,11))))+E454/(0.92*1000),VLOOKUP(D454,'Estratos SCX - ISA'!$A$3:$M$107,IF($D$421="A1",2,IF($D$421="A",5,IF($D$421="B",8,11))))+E454/(0.92*1000))))),IF(OR($D$415="",$D$421=""),"",IF(OR(D454&gt;$D$422,E454&gt;$D$423),"Rev. Total. abona.",IF(D454="",IF(E454="","",E454/(0.92*1000)),IF(OR($D$415="SAN CRISTOBAL",$D$415="FLOREANA"),VLOOKUP(D454,'Estratos SCY - FLO'!$O$4:$S$108,IF($D$421="A1",2,IF($D$421="A",3,IF($D$421="B",4,5))))+E454/(0.92*1000),VLOOKUP(D454,'Estratos SCX - ISA'!$O$4:$S$108,IF($D$421="A1",2,IF($D$421="A",3,IF($D$421="B",4,5))))+E454/(0.92*1000)))))))</f>
        <v/>
      </c>
      <c r="G454" s="59" t="str">
        <f t="shared" si="62"/>
        <v/>
      </c>
      <c r="H454" s="183"/>
      <c r="I454" s="183"/>
      <c r="J454" s="59" t="str">
        <f>IF(OR(H454="",$D$10="",$N$10=""),"",IF($D$10="COBRE",VLOOKUP(CDV_PROY_BT!H454,FDV!$B$16:$E$24,IF(CDV_PROY_BT!$N$10="3F",3,4),FALSE),IF($D$10="ACS",VLOOKUP(CDV_PROY_BT!H454,FDV!$B$10:$E$15,IF(CDV_PROY_BT!$N$10="3F",3,4),FALSE),IF($D$10="5005 (PREENSAMBLADO)",VLOOKUP(CDV_PROY_BT!H454,FDV!$B$4:$E$9,IF(CDV_PROY_BT!$N$10="3F",3,4),FALSE),VLOOKUP(CDV_PROY_BT!H454,FDV!$B$25:$E$30,IF(CDV_PROY_BT!$N$10="3F",3,4),FALSE)))))</f>
        <v/>
      </c>
      <c r="K454" s="63" t="str">
        <f t="shared" si="61"/>
        <v/>
      </c>
      <c r="L454" s="62" t="str">
        <f t="shared" si="63"/>
        <v/>
      </c>
      <c r="M454" s="62" t="str">
        <f t="shared" si="64"/>
        <v/>
      </c>
      <c r="N454" s="155"/>
      <c r="U454" s="138">
        <f t="shared" si="65"/>
        <v>0</v>
      </c>
      <c r="V454" s="138">
        <f t="shared" si="66"/>
        <v>0</v>
      </c>
    </row>
    <row r="455" spans="1:22" ht="15" hidden="1">
      <c r="A455" s="167"/>
      <c r="B455" s="168"/>
      <c r="C455" s="169"/>
      <c r="D455" s="169"/>
      <c r="E455" s="170"/>
      <c r="F455" s="58" t="str">
        <f>IF($N$417="","",IF($N$417="INDUSTRIAL",IF(OR($D$415="",$D$421=""),"",IF(OR(D455&gt;$D$422,E455&gt;$D$423),"Rev. Total. abona.",IF(D455="",IF(E455="","",E455/(0.92*1000)),IF(OR($D$415="SAN CRISTOBAL",$D$415="FLOREANA"),VLOOKUP(D455,'Estratos SCY - FLO'!$A$4:$M$108,IF($D$421="A1",2,IF($D$421="A",5,IF($D$421="B",8,11))))+E455/(0.92*1000),VLOOKUP(D455,'Estratos SCX - ISA'!$A$3:$M$107,IF($D$421="A1",2,IF($D$421="A",5,IF($D$421="B",8,11))))+E455/(0.92*1000))))),IF(OR($D$415="",$D$421=""),"",IF(OR(D455&gt;$D$422,E455&gt;$D$423),"Rev. Total. abona.",IF(D455="",IF(E455="","",E455/(0.92*1000)),IF(OR($D$415="SAN CRISTOBAL",$D$415="FLOREANA"),VLOOKUP(D455,'Estratos SCY - FLO'!$O$4:$S$108,IF($D$421="A1",2,IF($D$421="A",3,IF($D$421="B",4,5))))+E455/(0.92*1000),VLOOKUP(D455,'Estratos SCX - ISA'!$O$4:$S$108,IF($D$421="A1",2,IF($D$421="A",3,IF($D$421="B",4,5))))+E455/(0.92*1000)))))))</f>
        <v/>
      </c>
      <c r="G455" s="59" t="str">
        <f t="shared" si="62"/>
        <v/>
      </c>
      <c r="H455" s="183"/>
      <c r="I455" s="183"/>
      <c r="J455" s="59" t="str">
        <f>IF(OR(H455="",$D$10="",$N$10=""),"",IF($D$10="COBRE",VLOOKUP(CDV_PROY_BT!H455,FDV!$B$16:$E$24,IF(CDV_PROY_BT!$N$10="3F",3,4),FALSE),IF($D$10="ACS",VLOOKUP(CDV_PROY_BT!H455,FDV!$B$10:$E$15,IF(CDV_PROY_BT!$N$10="3F",3,4),FALSE),IF($D$10="5005 (PREENSAMBLADO)",VLOOKUP(CDV_PROY_BT!H455,FDV!$B$4:$E$9,IF(CDV_PROY_BT!$N$10="3F",3,4),FALSE),VLOOKUP(CDV_PROY_BT!H455,FDV!$B$25:$E$30,IF(CDV_PROY_BT!$N$10="3F",3,4),FALSE)))))</f>
        <v/>
      </c>
      <c r="K455" s="63" t="str">
        <f t="shared" si="61"/>
        <v/>
      </c>
      <c r="L455" s="62" t="str">
        <f t="shared" si="63"/>
        <v/>
      </c>
      <c r="M455" s="62" t="str">
        <f t="shared" si="64"/>
        <v/>
      </c>
      <c r="N455" s="155"/>
      <c r="U455" s="138">
        <f t="shared" si="65"/>
        <v>0</v>
      </c>
      <c r="V455" s="138">
        <f t="shared" si="66"/>
        <v>0</v>
      </c>
    </row>
    <row r="456" spans="1:22" ht="15" hidden="1">
      <c r="A456" s="167"/>
      <c r="B456" s="168"/>
      <c r="C456" s="169"/>
      <c r="D456" s="169"/>
      <c r="E456" s="170"/>
      <c r="F456" s="58" t="str">
        <f>IF($N$417="","",IF($N$417="INDUSTRIAL",IF(OR($D$415="",$D$421=""),"",IF(OR(D456&gt;$D$422,E456&gt;$D$423),"Rev. Total. abona.",IF(D456="",IF(E456="","",E456/(0.92*1000)),IF(OR($D$415="SAN CRISTOBAL",$D$415="FLOREANA"),VLOOKUP(D456,'Estratos SCY - FLO'!$A$4:$M$108,IF($D$421="A1",2,IF($D$421="A",5,IF($D$421="B",8,11))))+E456/(0.92*1000),VLOOKUP(D456,'Estratos SCX - ISA'!$A$3:$M$107,IF($D$421="A1",2,IF($D$421="A",5,IF($D$421="B",8,11))))+E456/(0.92*1000))))),IF(OR($D$415="",$D$421=""),"",IF(OR(D456&gt;$D$422,E456&gt;$D$423),"Rev. Total. abona.",IF(D456="",IF(E456="","",E456/(0.92*1000)),IF(OR($D$415="SAN CRISTOBAL",$D$415="FLOREANA"),VLOOKUP(D456,'Estratos SCY - FLO'!$O$4:$S$108,IF($D$421="A1",2,IF($D$421="A",3,IF($D$421="B",4,5))))+E456/(0.92*1000),VLOOKUP(D456,'Estratos SCX - ISA'!$O$4:$S$108,IF($D$421="A1",2,IF($D$421="A",3,IF($D$421="B",4,5))))+E456/(0.92*1000)))))))</f>
        <v/>
      </c>
      <c r="G456" s="59" t="str">
        <f t="shared" si="62"/>
        <v/>
      </c>
      <c r="H456" s="183"/>
      <c r="I456" s="183"/>
      <c r="J456" s="59" t="str">
        <f>IF(OR(H456="",$D$10="",$N$10=""),"",IF($D$10="COBRE",VLOOKUP(CDV_PROY_BT!H456,FDV!$B$16:$E$24,IF(CDV_PROY_BT!$N$10="3F",3,4),FALSE),IF($D$10="ACS",VLOOKUP(CDV_PROY_BT!H456,FDV!$B$10:$E$15,IF(CDV_PROY_BT!$N$10="3F",3,4),FALSE),IF($D$10="5005 (PREENSAMBLADO)",VLOOKUP(CDV_PROY_BT!H456,FDV!$B$4:$E$9,IF(CDV_PROY_BT!$N$10="3F",3,4),FALSE),VLOOKUP(CDV_PROY_BT!H456,FDV!$B$25:$E$30,IF(CDV_PROY_BT!$N$10="3F",3,4),FALSE)))))</f>
        <v/>
      </c>
      <c r="K456" s="63" t="str">
        <f t="shared" si="61"/>
        <v/>
      </c>
      <c r="L456" s="62" t="str">
        <f t="shared" si="63"/>
        <v/>
      </c>
      <c r="M456" s="62" t="str">
        <f t="shared" si="64"/>
        <v/>
      </c>
      <c r="N456" s="155"/>
      <c r="U456" s="138">
        <f t="shared" si="65"/>
        <v>0</v>
      </c>
      <c r="V456" s="138">
        <f t="shared" si="66"/>
        <v>0</v>
      </c>
    </row>
    <row r="457" spans="1:22" ht="15" hidden="1">
      <c r="A457" s="167"/>
      <c r="B457" s="168"/>
      <c r="C457" s="169"/>
      <c r="D457" s="169"/>
      <c r="E457" s="170"/>
      <c r="F457" s="58" t="str">
        <f>IF($N$417="","",IF($N$417="INDUSTRIAL",IF(OR($D$415="",$D$421=""),"",IF(OR(D457&gt;$D$422,E457&gt;$D$423),"Rev. Total. abona.",IF(D457="",IF(E457="","",E457/(0.92*1000)),IF(OR($D$415="SAN CRISTOBAL",$D$415="FLOREANA"),VLOOKUP(D457,'Estratos SCY - FLO'!$A$4:$M$108,IF($D$421="A1",2,IF($D$421="A",5,IF($D$421="B",8,11))))+E457/(0.92*1000),VLOOKUP(D457,'Estratos SCX - ISA'!$A$3:$M$107,IF($D$421="A1",2,IF($D$421="A",5,IF($D$421="B",8,11))))+E457/(0.92*1000))))),IF(OR($D$415="",$D$421=""),"",IF(OR(D457&gt;$D$422,E457&gt;$D$423),"Rev. Total. abona.",IF(D457="",IF(E457="","",E457/(0.92*1000)),IF(OR($D$415="SAN CRISTOBAL",$D$415="FLOREANA"),VLOOKUP(D457,'Estratos SCY - FLO'!$O$4:$S$108,IF($D$421="A1",2,IF($D$421="A",3,IF($D$421="B",4,5))))+E457/(0.92*1000),VLOOKUP(D457,'Estratos SCX - ISA'!$O$4:$S$108,IF($D$421="A1",2,IF($D$421="A",3,IF($D$421="B",4,5))))+E457/(0.92*1000)))))))</f>
        <v/>
      </c>
      <c r="G457" s="59" t="str">
        <f t="shared" si="62"/>
        <v/>
      </c>
      <c r="H457" s="183"/>
      <c r="I457" s="183"/>
      <c r="J457" s="59" t="str">
        <f>IF(OR(H457="",$D$10="",$N$10=""),"",IF($D$10="COBRE",VLOOKUP(CDV_PROY_BT!H457,FDV!$B$16:$E$24,IF(CDV_PROY_BT!$N$10="3F",3,4),FALSE),IF($D$10="ACS",VLOOKUP(CDV_PROY_BT!H457,FDV!$B$10:$E$15,IF(CDV_PROY_BT!$N$10="3F",3,4),FALSE),IF($D$10="5005 (PREENSAMBLADO)",VLOOKUP(CDV_PROY_BT!H457,FDV!$B$4:$E$9,IF(CDV_PROY_BT!$N$10="3F",3,4),FALSE),VLOOKUP(CDV_PROY_BT!H457,FDV!$B$25:$E$30,IF(CDV_PROY_BT!$N$10="3F",3,4),FALSE)))))</f>
        <v/>
      </c>
      <c r="K457" s="63" t="str">
        <f t="shared" si="61"/>
        <v/>
      </c>
      <c r="L457" s="62" t="str">
        <f t="shared" si="63"/>
        <v/>
      </c>
      <c r="M457" s="62" t="str">
        <f t="shared" si="64"/>
        <v/>
      </c>
      <c r="N457" s="156"/>
      <c r="U457" s="138">
        <f t="shared" si="65"/>
        <v>0</v>
      </c>
      <c r="V457" s="138">
        <f t="shared" si="66"/>
        <v>0</v>
      </c>
    </row>
    <row r="458" spans="1:22" ht="15.75" hidden="1" thickBot="1">
      <c r="A458" s="178"/>
      <c r="B458" s="179"/>
      <c r="C458" s="180"/>
      <c r="D458" s="180"/>
      <c r="E458" s="181"/>
      <c r="F458" s="68" t="str">
        <f>IF($N$417="","",IF($N$417="INDUSTRIAL",IF(OR($D$415="",$D$421=""),"",IF(OR(D458&gt;$D$422,E458&gt;$D$423),"Rev. Total. abona.",IF(D458="",IF(E458="","",E458/(0.92*1000)),IF(OR($D$415="SAN CRISTOBAL",$D$415="FLOREANA"),VLOOKUP(D458,'Estratos SCY - FLO'!$A$4:$M$108,IF($D$421="A1",2,IF($D$421="A",5,IF($D$421="B",8,11))))+E458/(0.92*1000),VLOOKUP(D458,'Estratos SCX - ISA'!$A$3:$M$107,IF($D$421="A1",2,IF($D$421="A",5,IF($D$421="B",8,11))))+E458/(0.92*1000))))),IF(OR($D$415="",$D$421=""),"",IF(OR(D458&gt;$D$422,E458&gt;$D$423),"Rev. Total. abona.",IF(D458="",IF(E458="","",E458/(0.92*1000)),IF(OR($D$415="SAN CRISTOBAL",$D$415="FLOREANA"),VLOOKUP(D458,'Estratos SCY - FLO'!$O$4:$S$108,IF($D$421="A1",2,IF($D$421="A",3,IF($D$421="B",4,5))))+E458/(0.92*1000),VLOOKUP(D458,'Estratos SCX - ISA'!$O$4:$S$108,IF($D$421="A1",2,IF($D$421="A",3,IF($D$421="B",4,5))))+E458/(0.92*1000)))))))</f>
        <v/>
      </c>
      <c r="G458" s="69" t="str">
        <f t="shared" si="62"/>
        <v/>
      </c>
      <c r="H458" s="184"/>
      <c r="I458" s="184"/>
      <c r="J458" s="69" t="str">
        <f>IF(OR(H458="",$D$10="",$N$10=""),"",IF($D$10="COBRE",VLOOKUP(CDV_PROY_BT!H458,FDV!$B$16:$E$24,IF(CDV_PROY_BT!$N$10="3F",3,4),FALSE),IF($D$10="ACS",VLOOKUP(CDV_PROY_BT!H458,FDV!$B$10:$E$15,IF(CDV_PROY_BT!$N$10="3F",3,4),FALSE),IF($D$10="5005 (PREENSAMBLADO)",VLOOKUP(CDV_PROY_BT!H458,FDV!$B$4:$E$9,IF(CDV_PROY_BT!$N$10="3F",3,4),FALSE),VLOOKUP(CDV_PROY_BT!H458,FDV!$B$25:$E$30,IF(CDV_PROY_BT!$N$10="3F",3,4),FALSE)))))</f>
        <v/>
      </c>
      <c r="K458" s="65" t="str">
        <f t="shared" si="61"/>
        <v/>
      </c>
      <c r="L458" s="64" t="str">
        <f t="shared" si="63"/>
        <v/>
      </c>
      <c r="M458" s="64" t="str">
        <f t="shared" si="64"/>
        <v/>
      </c>
      <c r="N458" s="157"/>
      <c r="U458" s="138">
        <f t="shared" si="65"/>
        <v>0</v>
      </c>
      <c r="V458" s="138">
        <f t="shared" si="66"/>
        <v>0</v>
      </c>
    </row>
    <row r="459" spans="1:22" ht="15.75" hidden="1" thickBot="1">
      <c r="A459" s="143"/>
      <c r="B459" s="67" t="str">
        <f>IF(N428="","",N428)</f>
        <v>P37</v>
      </c>
      <c r="C459" s="144"/>
      <c r="D459" s="144"/>
      <c r="E459" s="145"/>
      <c r="F459" s="68"/>
      <c r="G459" s="69" t="str">
        <f t="shared" si="62"/>
        <v/>
      </c>
      <c r="H459" s="146" t="e">
        <f>IF(B459="","",IF(B459-A459=1,H458,""))</f>
        <v>#VALUE!</v>
      </c>
      <c r="I459" s="146"/>
      <c r="J459" s="70" t="e">
        <f>IF(OR(H459="",$D$10="",$N$10=""),"",IF($D$10="COBRE",VLOOKUP(CDV_PROY_BT!H459,FDV!$B$16:$E$24,IF(CDV_PROY_BT!$N$10="3F",3,4),FALSE),IF($D$10="ACS",VLOOKUP(CDV_PROY_BT!H459,FDV!$B$10:$E$15,IF(CDV_PROY_BT!$N$10="3F",3,4),FALSE),IF($D$10="5005 (PREENSAMBLADO)",VLOOKUP(CDV_PROY_BT!H459,FDV!$B$4:$E$9,IF(CDV_PROY_BT!$N$10="3F",3,4),FALSE),VLOOKUP(CDV_PROY_BT!H459,FDV!$B$25:$E$30,IF(CDV_PROY_BT!$N$10="3F",3,4),FALSE)))))</f>
        <v>#VALUE!</v>
      </c>
      <c r="K459" s="71" t="str">
        <f t="shared" si="61"/>
        <v/>
      </c>
      <c r="L459" s="68" t="str">
        <f aca="true" t="shared" si="67" ref="L459">IF(C459="","",ROUND(K459/J459,2))</f>
        <v/>
      </c>
      <c r="M459" s="72">
        <v>0</v>
      </c>
      <c r="N459" s="66"/>
      <c r="U459" s="138">
        <f aca="true" t="shared" si="68" ref="U459:U460">+IF(D459&gt;0,C459,0)</f>
        <v>0</v>
      </c>
      <c r="V459" s="138">
        <f aca="true" t="shared" si="69" ref="V459:V460">IF(C459="",0,C459*G459)</f>
        <v>0</v>
      </c>
    </row>
    <row r="460" spans="1:22" ht="15.75" hidden="1" thickBot="1">
      <c r="A460" s="73" t="s">
        <v>113</v>
      </c>
      <c r="B460" s="74"/>
      <c r="C460" s="75"/>
      <c r="D460" s="75"/>
      <c r="E460" s="76"/>
      <c r="F460" s="77"/>
      <c r="G460" s="78"/>
      <c r="H460" s="79"/>
      <c r="I460" s="79"/>
      <c r="J460" s="78"/>
      <c r="K460" s="121"/>
      <c r="L460" s="121"/>
      <c r="M460" s="128"/>
      <c r="N460" s="240"/>
      <c r="U460" s="138">
        <f t="shared" si="68"/>
        <v>0</v>
      </c>
      <c r="V460" s="138">
        <f t="shared" si="69"/>
        <v>0</v>
      </c>
    </row>
    <row r="461" spans="1:14" ht="15.75" hidden="1" thickBot="1">
      <c r="A461" s="93" t="s">
        <v>96</v>
      </c>
      <c r="B461" s="94">
        <f>+ROUND(SUMIF(H432:H458,"4/0",V432:V460)*1.015,0)</f>
        <v>0</v>
      </c>
      <c r="C461" s="93" t="s">
        <v>97</v>
      </c>
      <c r="D461" s="94">
        <f>ROUND((SUMIF(H432:H458,"3/0",V432:V460))*1.015,0)</f>
        <v>0</v>
      </c>
      <c r="E461" s="82" t="s">
        <v>95</v>
      </c>
      <c r="F461" s="81">
        <f>ROUND((SUMIF(H432:H458,"2/0",V432:V460))*1.015,0)</f>
        <v>0</v>
      </c>
      <c r="G461" s="80" t="s">
        <v>57</v>
      </c>
      <c r="H461" s="81">
        <f>ROUND((SUMIF(H432:H458,"1/0",V432:V460))*1.015,0)</f>
        <v>126</v>
      </c>
      <c r="I461" s="93" t="s">
        <v>58</v>
      </c>
      <c r="J461" s="94">
        <f>ROUND((SUMIF(H432:H458,"2",V432:V460))*1.015,0)</f>
        <v>0</v>
      </c>
      <c r="K461" s="147"/>
      <c r="L461" s="91"/>
      <c r="M461" s="92"/>
      <c r="N461" s="241"/>
    </row>
    <row r="462" spans="1:14" ht="15.75" hidden="1" thickBot="1">
      <c r="A462" s="119" t="s">
        <v>107</v>
      </c>
      <c r="B462" s="92"/>
      <c r="C462" s="91"/>
      <c r="D462" s="92"/>
      <c r="E462" s="91"/>
      <c r="F462" s="92"/>
      <c r="G462" s="91"/>
      <c r="H462" s="92"/>
      <c r="I462" s="92"/>
      <c r="J462" s="91"/>
      <c r="K462" s="92"/>
      <c r="L462" s="91"/>
      <c r="M462" s="92"/>
      <c r="N462" s="241"/>
    </row>
    <row r="463" spans="1:14" ht="15.75" hidden="1" thickBot="1">
      <c r="A463" s="93" t="s">
        <v>96</v>
      </c>
      <c r="B463" s="94">
        <f>+ROUND(SUMIF(I432:I458,"4/0",U432:U460)*1.015,0)</f>
        <v>0</v>
      </c>
      <c r="C463" s="93" t="s">
        <v>97</v>
      </c>
      <c r="D463" s="94">
        <f>ROUND((SUMIF(I432:I458,"3/0",U432:U460))*1.015,0)</f>
        <v>0</v>
      </c>
      <c r="E463" s="93" t="s">
        <v>95</v>
      </c>
      <c r="F463" s="94">
        <f>ROUND((SUMIF(I432:I458,"2/0",U432:U460))*1.015,0)</f>
        <v>0</v>
      </c>
      <c r="G463" s="93" t="s">
        <v>57</v>
      </c>
      <c r="H463" s="94">
        <f>ROUND((SUMIF(I432:I458,"1/0",U432:U460))*1.015,0)</f>
        <v>126</v>
      </c>
      <c r="I463" s="93" t="s">
        <v>58</v>
      </c>
      <c r="J463" s="94">
        <f>ROUND((SUMIF(I432:I458,"2",U432:U460))*1.015,0)</f>
        <v>0</v>
      </c>
      <c r="L463" s="91"/>
      <c r="M463" s="92"/>
      <c r="N463" s="241"/>
    </row>
    <row r="464" spans="1:14" ht="15.75" hidden="1" thickBot="1">
      <c r="A464" s="244" t="s">
        <v>123</v>
      </c>
      <c r="B464" s="244"/>
      <c r="C464" s="244"/>
      <c r="D464" s="21">
        <f>IF(N419="","",SUM(C432:C458))</f>
        <v>124</v>
      </c>
      <c r="E464" s="28" t="s">
        <v>59</v>
      </c>
      <c r="G464" s="21"/>
      <c r="H464" s="21"/>
      <c r="I464" s="21"/>
      <c r="J464" s="21"/>
      <c r="K464" s="21"/>
      <c r="L464" s="21"/>
      <c r="M464" s="23"/>
      <c r="N464" s="83" t="s">
        <v>80</v>
      </c>
    </row>
    <row r="465" spans="1:14" ht="15" hidden="1">
      <c r="A465" s="36" t="s">
        <v>60</v>
      </c>
      <c r="B465" s="238"/>
      <c r="C465" s="238"/>
      <c r="D465" s="238"/>
      <c r="E465" s="238"/>
      <c r="F465" s="238"/>
      <c r="G465" s="238"/>
      <c r="H465" s="238"/>
      <c r="I465" s="238"/>
      <c r="J465" s="238"/>
      <c r="K465" s="238"/>
      <c r="L465" s="238"/>
      <c r="M465" s="239"/>
      <c r="N465" s="84" t="s">
        <v>61</v>
      </c>
    </row>
    <row r="466" spans="1:14" ht="15.75" hidden="1" thickBot="1">
      <c r="A466" s="148"/>
      <c r="B466" s="242"/>
      <c r="C466" s="242"/>
      <c r="D466" s="242"/>
      <c r="E466" s="242"/>
      <c r="F466" s="242"/>
      <c r="G466" s="242"/>
      <c r="H466" s="242"/>
      <c r="I466" s="242"/>
      <c r="J466" s="242"/>
      <c r="K466" s="242"/>
      <c r="L466" s="242"/>
      <c r="M466" s="243"/>
      <c r="N466" s="85">
        <f>MAX(N432:N458)</f>
        <v>4.8100000000000005</v>
      </c>
    </row>
    <row r="467" ht="15" hidden="1"/>
    <row r="468" ht="15" hidden="1"/>
  </sheetData>
  <mergeCells count="180">
    <mergeCell ref="V430:V431"/>
    <mergeCell ref="N460:N463"/>
    <mergeCell ref="A464:C464"/>
    <mergeCell ref="B465:M465"/>
    <mergeCell ref="B466:M466"/>
    <mergeCell ref="A430:B430"/>
    <mergeCell ref="G430:J430"/>
    <mergeCell ref="K430:K431"/>
    <mergeCell ref="L430:N430"/>
    <mergeCell ref="U430:U431"/>
    <mergeCell ref="D417:F417"/>
    <mergeCell ref="D419:E419"/>
    <mergeCell ref="H422:J422"/>
    <mergeCell ref="H423:J423"/>
    <mergeCell ref="A424:J424"/>
    <mergeCell ref="A411:N411"/>
    <mergeCell ref="A413:N413"/>
    <mergeCell ref="D415:E415"/>
    <mergeCell ref="F415:G415"/>
    <mergeCell ref="H415:J415"/>
    <mergeCell ref="K415:L415"/>
    <mergeCell ref="M415:N415"/>
    <mergeCell ref="V372:V373"/>
    <mergeCell ref="N402:N405"/>
    <mergeCell ref="A406:C406"/>
    <mergeCell ref="B407:M407"/>
    <mergeCell ref="B408:M408"/>
    <mergeCell ref="A372:B372"/>
    <mergeCell ref="G372:J372"/>
    <mergeCell ref="K372:K373"/>
    <mergeCell ref="L372:N372"/>
    <mergeCell ref="U372:U373"/>
    <mergeCell ref="D359:F359"/>
    <mergeCell ref="D361:E361"/>
    <mergeCell ref="H364:J364"/>
    <mergeCell ref="H365:J365"/>
    <mergeCell ref="A366:J366"/>
    <mergeCell ref="A353:N353"/>
    <mergeCell ref="A355:N355"/>
    <mergeCell ref="D357:E357"/>
    <mergeCell ref="F357:G357"/>
    <mergeCell ref="H357:J357"/>
    <mergeCell ref="K357:L357"/>
    <mergeCell ref="M357:N357"/>
    <mergeCell ref="V314:V315"/>
    <mergeCell ref="N344:N347"/>
    <mergeCell ref="A348:C348"/>
    <mergeCell ref="B349:M349"/>
    <mergeCell ref="B350:M350"/>
    <mergeCell ref="A314:B314"/>
    <mergeCell ref="G314:J314"/>
    <mergeCell ref="K314:K315"/>
    <mergeCell ref="L314:N314"/>
    <mergeCell ref="U314:U315"/>
    <mergeCell ref="D301:F301"/>
    <mergeCell ref="D303:E303"/>
    <mergeCell ref="H306:J306"/>
    <mergeCell ref="H307:J307"/>
    <mergeCell ref="A308:J308"/>
    <mergeCell ref="A295:N295"/>
    <mergeCell ref="A297:N297"/>
    <mergeCell ref="D299:E299"/>
    <mergeCell ref="F299:G299"/>
    <mergeCell ref="H299:J299"/>
    <mergeCell ref="K299:L299"/>
    <mergeCell ref="M299:N299"/>
    <mergeCell ref="V256:V257"/>
    <mergeCell ref="N286:N289"/>
    <mergeCell ref="A290:C290"/>
    <mergeCell ref="B291:M291"/>
    <mergeCell ref="B292:M292"/>
    <mergeCell ref="A256:B256"/>
    <mergeCell ref="G256:J256"/>
    <mergeCell ref="K256:K257"/>
    <mergeCell ref="L256:N256"/>
    <mergeCell ref="U256:U257"/>
    <mergeCell ref="D243:F243"/>
    <mergeCell ref="D245:E245"/>
    <mergeCell ref="H248:J248"/>
    <mergeCell ref="H249:J249"/>
    <mergeCell ref="A250:J250"/>
    <mergeCell ref="A237:N237"/>
    <mergeCell ref="A239:N239"/>
    <mergeCell ref="D241:E241"/>
    <mergeCell ref="F241:G241"/>
    <mergeCell ref="H241:J241"/>
    <mergeCell ref="K241:L241"/>
    <mergeCell ref="M241:N241"/>
    <mergeCell ref="V198:V199"/>
    <mergeCell ref="N228:N231"/>
    <mergeCell ref="A232:C232"/>
    <mergeCell ref="B233:M233"/>
    <mergeCell ref="B234:M234"/>
    <mergeCell ref="A198:B198"/>
    <mergeCell ref="G198:J198"/>
    <mergeCell ref="K198:K199"/>
    <mergeCell ref="L198:N198"/>
    <mergeCell ref="U198:U199"/>
    <mergeCell ref="D185:F185"/>
    <mergeCell ref="D187:E187"/>
    <mergeCell ref="H190:J190"/>
    <mergeCell ref="H191:J191"/>
    <mergeCell ref="A192:J192"/>
    <mergeCell ref="A179:N179"/>
    <mergeCell ref="A181:N181"/>
    <mergeCell ref="D183:E183"/>
    <mergeCell ref="F183:G183"/>
    <mergeCell ref="H183:J183"/>
    <mergeCell ref="K183:L183"/>
    <mergeCell ref="M183:N183"/>
    <mergeCell ref="V139:V140"/>
    <mergeCell ref="N169:N172"/>
    <mergeCell ref="A173:C173"/>
    <mergeCell ref="B174:M174"/>
    <mergeCell ref="B175:M175"/>
    <mergeCell ref="A139:B139"/>
    <mergeCell ref="G139:J139"/>
    <mergeCell ref="K139:K140"/>
    <mergeCell ref="L139:N139"/>
    <mergeCell ref="U139:U140"/>
    <mergeCell ref="D126:F126"/>
    <mergeCell ref="D128:E128"/>
    <mergeCell ref="H131:J131"/>
    <mergeCell ref="H132:J132"/>
    <mergeCell ref="A133:J133"/>
    <mergeCell ref="A120:N120"/>
    <mergeCell ref="A122:N122"/>
    <mergeCell ref="D124:E124"/>
    <mergeCell ref="F124:G124"/>
    <mergeCell ref="H124:J124"/>
    <mergeCell ref="K124:L124"/>
    <mergeCell ref="M124:N124"/>
    <mergeCell ref="A114:C114"/>
    <mergeCell ref="B115:M115"/>
    <mergeCell ref="B116:M116"/>
    <mergeCell ref="U80:U81"/>
    <mergeCell ref="V80:V81"/>
    <mergeCell ref="A80:B80"/>
    <mergeCell ref="G80:J80"/>
    <mergeCell ref="K80:K81"/>
    <mergeCell ref="L80:N80"/>
    <mergeCell ref="N110:N113"/>
    <mergeCell ref="R15:R16"/>
    <mergeCell ref="D67:F67"/>
    <mergeCell ref="D69:E69"/>
    <mergeCell ref="H72:J72"/>
    <mergeCell ref="H73:J73"/>
    <mergeCell ref="A74:J74"/>
    <mergeCell ref="A61:N61"/>
    <mergeCell ref="A63:N63"/>
    <mergeCell ref="D65:E65"/>
    <mergeCell ref="F65:G65"/>
    <mergeCell ref="H65:J65"/>
    <mergeCell ref="K65:L65"/>
    <mergeCell ref="M65:N65"/>
    <mergeCell ref="R17:R18"/>
    <mergeCell ref="I8:J8"/>
    <mergeCell ref="U21:U22"/>
    <mergeCell ref="V21:V22"/>
    <mergeCell ref="B56:M56"/>
    <mergeCell ref="N51:N54"/>
    <mergeCell ref="B57:M57"/>
    <mergeCell ref="A55:C55"/>
    <mergeCell ref="A2:N2"/>
    <mergeCell ref="A4:N4"/>
    <mergeCell ref="H13:J13"/>
    <mergeCell ref="H14:J14"/>
    <mergeCell ref="L21:N21"/>
    <mergeCell ref="D10:E10"/>
    <mergeCell ref="K21:K22"/>
    <mergeCell ref="A21:B21"/>
    <mergeCell ref="D6:E6"/>
    <mergeCell ref="D8:F8"/>
    <mergeCell ref="M6:N6"/>
    <mergeCell ref="H6:J6"/>
    <mergeCell ref="F6:G6"/>
    <mergeCell ref="G21:J21"/>
    <mergeCell ref="K6:L6"/>
    <mergeCell ref="A15:J15"/>
    <mergeCell ref="R14:T14"/>
  </mergeCells>
  <conditionalFormatting sqref="N42:N50 N101:N109 N160:N168 N219:N227 N277:N285 N335:N343 N393:N401 N451:N459 N23:N40">
    <cfRule type="expression" priority="66" dxfId="0" stopIfTrue="1">
      <formula>$X22&gt;0</formula>
    </cfRule>
  </conditionalFormatting>
  <conditionalFormatting sqref="D8">
    <cfRule type="cellIs" priority="67" dxfId="2" operator="equal" stopIfTrue="1">
      <formula>""""""</formula>
    </cfRule>
  </conditionalFormatting>
  <conditionalFormatting sqref="N41">
    <cfRule type="expression" priority="70" dxfId="0" stopIfTrue="1">
      <formula>#REF!&gt;0</formula>
    </cfRule>
  </conditionalFormatting>
  <conditionalFormatting sqref="N1 D6 H6 M6 D8 D10 D12 D13 D14 H13 H14 N10 N12 N19 H13">
    <cfRule type="containsBlanks" priority="73" dxfId="7" stopIfTrue="1">
      <formula>LEN(TRIM(D1))=0</formula>
    </cfRule>
  </conditionalFormatting>
  <conditionalFormatting sqref="N82:N99">
    <cfRule type="expression" priority="58" dxfId="0" stopIfTrue="1">
      <formula>$X81&gt;0</formula>
    </cfRule>
  </conditionalFormatting>
  <conditionalFormatting sqref="D67">
    <cfRule type="cellIs" priority="59" dxfId="2" operator="equal" stopIfTrue="1">
      <formula>""""""</formula>
    </cfRule>
  </conditionalFormatting>
  <conditionalFormatting sqref="N100">
    <cfRule type="expression" priority="60" dxfId="0" stopIfTrue="1">
      <formula>#REF!&gt;0</formula>
    </cfRule>
  </conditionalFormatting>
  <conditionalFormatting sqref="D65 D67 D69 D71:D73 H72:H73 N78">
    <cfRule type="containsBlanks" priority="61" dxfId="7" stopIfTrue="1">
      <formula>LEN(TRIM(D65))=0</formula>
    </cfRule>
  </conditionalFormatting>
  <conditionalFormatting sqref="N141:N158">
    <cfRule type="expression" priority="54" dxfId="0" stopIfTrue="1">
      <formula>$X140&gt;0</formula>
    </cfRule>
  </conditionalFormatting>
  <conditionalFormatting sqref="D126">
    <cfRule type="cellIs" priority="55" dxfId="2" operator="equal" stopIfTrue="1">
      <formula>""""""</formula>
    </cfRule>
  </conditionalFormatting>
  <conditionalFormatting sqref="N159">
    <cfRule type="expression" priority="56" dxfId="0" stopIfTrue="1">
      <formula>#REF!&gt;0</formula>
    </cfRule>
  </conditionalFormatting>
  <conditionalFormatting sqref="D124 D126 D128 D130:D132 H131:H132 N137">
    <cfRule type="containsBlanks" priority="57" dxfId="7" stopIfTrue="1">
      <formula>LEN(TRIM(D124))=0</formula>
    </cfRule>
  </conditionalFormatting>
  <conditionalFormatting sqref="N200:N217">
    <cfRule type="expression" priority="50" dxfId="0" stopIfTrue="1">
      <formula>$X199&gt;0</formula>
    </cfRule>
  </conditionalFormatting>
  <conditionalFormatting sqref="D185">
    <cfRule type="cellIs" priority="51" dxfId="2" operator="equal" stopIfTrue="1">
      <formula>""""""</formula>
    </cfRule>
  </conditionalFormatting>
  <conditionalFormatting sqref="N218">
    <cfRule type="expression" priority="52" dxfId="0" stopIfTrue="1">
      <formula>#REF!&gt;0</formula>
    </cfRule>
  </conditionalFormatting>
  <conditionalFormatting sqref="D183 H183 M183 D185 D187 D189:D191 H190:H191 N196">
    <cfRule type="containsBlanks" priority="53" dxfId="7" stopIfTrue="1">
      <formula>LEN(TRIM(D183))=0</formula>
    </cfRule>
  </conditionalFormatting>
  <conditionalFormatting sqref="N258:N275">
    <cfRule type="expression" priority="46" dxfId="0" stopIfTrue="1">
      <formula>$X257&gt;0</formula>
    </cfRule>
  </conditionalFormatting>
  <conditionalFormatting sqref="D243">
    <cfRule type="cellIs" priority="47" dxfId="2" operator="equal" stopIfTrue="1">
      <formula>""""""</formula>
    </cfRule>
  </conditionalFormatting>
  <conditionalFormatting sqref="N276">
    <cfRule type="expression" priority="48" dxfId="0" stopIfTrue="1">
      <formula>#REF!&gt;0</formula>
    </cfRule>
  </conditionalFormatting>
  <conditionalFormatting sqref="D241 H241 M241 D243 D245 D247:D249 H248:H249 N254">
    <cfRule type="containsBlanks" priority="49" dxfId="7" stopIfTrue="1">
      <formula>LEN(TRIM(D241))=0</formula>
    </cfRule>
  </conditionalFormatting>
  <conditionalFormatting sqref="N316:N333">
    <cfRule type="expression" priority="42" dxfId="0" stopIfTrue="1">
      <formula>$X315&gt;0</formula>
    </cfRule>
  </conditionalFormatting>
  <conditionalFormatting sqref="D301">
    <cfRule type="cellIs" priority="43" dxfId="2" operator="equal" stopIfTrue="1">
      <formula>""""""</formula>
    </cfRule>
  </conditionalFormatting>
  <conditionalFormatting sqref="N334">
    <cfRule type="expression" priority="44" dxfId="0" stopIfTrue="1">
      <formula>#REF!&gt;0</formula>
    </cfRule>
  </conditionalFormatting>
  <conditionalFormatting sqref="D299 H299 M299 D301 D303 D305:D307 H306:H307 N312">
    <cfRule type="containsBlanks" priority="45" dxfId="7" stopIfTrue="1">
      <formula>LEN(TRIM(D299))=0</formula>
    </cfRule>
  </conditionalFormatting>
  <conditionalFormatting sqref="N374:N391">
    <cfRule type="expression" priority="38" dxfId="0" stopIfTrue="1">
      <formula>$X373&gt;0</formula>
    </cfRule>
  </conditionalFormatting>
  <conditionalFormatting sqref="D359">
    <cfRule type="cellIs" priority="39" dxfId="2" operator="equal" stopIfTrue="1">
      <formula>""""""</formula>
    </cfRule>
  </conditionalFormatting>
  <conditionalFormatting sqref="N392">
    <cfRule type="expression" priority="40" dxfId="0" stopIfTrue="1">
      <formula>#REF!&gt;0</formula>
    </cfRule>
  </conditionalFormatting>
  <conditionalFormatting sqref="D357 H357 M357 D359 D361 D363:D365 H364:H365 N370">
    <cfRule type="containsBlanks" priority="41" dxfId="7" stopIfTrue="1">
      <formula>LEN(TRIM(D357))=0</formula>
    </cfRule>
  </conditionalFormatting>
  <conditionalFormatting sqref="N432:N449">
    <cfRule type="expression" priority="34" dxfId="0" stopIfTrue="1">
      <formula>$X431&gt;0</formula>
    </cfRule>
  </conditionalFormatting>
  <conditionalFormatting sqref="D417">
    <cfRule type="cellIs" priority="35" dxfId="2" operator="equal" stopIfTrue="1">
      <formula>""""""</formula>
    </cfRule>
  </conditionalFormatting>
  <conditionalFormatting sqref="N450">
    <cfRule type="expression" priority="36" dxfId="0" stopIfTrue="1">
      <formula>#REF!&gt;0</formula>
    </cfRule>
  </conditionalFormatting>
  <conditionalFormatting sqref="D415 H415 M415 D417 D419 D421:D423 H422:H423 N428">
    <cfRule type="containsBlanks" priority="37" dxfId="7" stopIfTrue="1">
      <formula>LEN(TRIM(D415))=0</formula>
    </cfRule>
  </conditionalFormatting>
  <conditionalFormatting sqref="N419 N421">
    <cfRule type="containsBlanks" priority="26" dxfId="7" stopIfTrue="1">
      <formula>LEN(TRIM(N419))=0</formula>
    </cfRule>
  </conditionalFormatting>
  <conditionalFormatting sqref="N69 N71">
    <cfRule type="containsBlanks" priority="32" dxfId="7" stopIfTrue="1">
      <formula>LEN(TRIM(N69))=0</formula>
    </cfRule>
  </conditionalFormatting>
  <conditionalFormatting sqref="N128 N130">
    <cfRule type="containsBlanks" priority="31" dxfId="7" stopIfTrue="1">
      <formula>LEN(TRIM(N128))=0</formula>
    </cfRule>
  </conditionalFormatting>
  <conditionalFormatting sqref="N187 N189">
    <cfRule type="containsBlanks" priority="30" dxfId="7" stopIfTrue="1">
      <formula>LEN(TRIM(N187))=0</formula>
    </cfRule>
  </conditionalFormatting>
  <conditionalFormatting sqref="N245 N247">
    <cfRule type="containsBlanks" priority="29" dxfId="7" stopIfTrue="1">
      <formula>LEN(TRIM(N245))=0</formula>
    </cfRule>
  </conditionalFormatting>
  <conditionalFormatting sqref="N303 N305">
    <cfRule type="containsBlanks" priority="28" dxfId="7" stopIfTrue="1">
      <formula>LEN(TRIM(N303))=0</formula>
    </cfRule>
  </conditionalFormatting>
  <conditionalFormatting sqref="N361 N363">
    <cfRule type="containsBlanks" priority="27" dxfId="7" stopIfTrue="1">
      <formula>LEN(TRIM(N361))=0</formula>
    </cfRule>
  </conditionalFormatting>
  <conditionalFormatting sqref="N18">
    <cfRule type="containsBlanks" priority="25" dxfId="7" stopIfTrue="1">
      <formula>LEN(TRIM(N18))=0</formula>
    </cfRule>
  </conditionalFormatting>
  <conditionalFormatting sqref="N77">
    <cfRule type="containsBlanks" priority="24" dxfId="7" stopIfTrue="1">
      <formula>LEN(TRIM(N77))=0</formula>
    </cfRule>
  </conditionalFormatting>
  <conditionalFormatting sqref="N136">
    <cfRule type="containsBlanks" priority="23" dxfId="7" stopIfTrue="1">
      <formula>LEN(TRIM(N136))=0</formula>
    </cfRule>
  </conditionalFormatting>
  <conditionalFormatting sqref="N195">
    <cfRule type="containsBlanks" priority="22" dxfId="7" stopIfTrue="1">
      <formula>LEN(TRIM(N195))=0</formula>
    </cfRule>
  </conditionalFormatting>
  <conditionalFormatting sqref="N253">
    <cfRule type="containsBlanks" priority="21" dxfId="7" stopIfTrue="1">
      <formula>LEN(TRIM(N253))=0</formula>
    </cfRule>
  </conditionalFormatting>
  <conditionalFormatting sqref="N311">
    <cfRule type="containsBlanks" priority="20" dxfId="7" stopIfTrue="1">
      <formula>LEN(TRIM(N311))=0</formula>
    </cfRule>
  </conditionalFormatting>
  <conditionalFormatting sqref="N369">
    <cfRule type="containsBlanks" priority="19" dxfId="7" stopIfTrue="1">
      <formula>LEN(TRIM(N369))=0</formula>
    </cfRule>
  </conditionalFormatting>
  <conditionalFormatting sqref="N427">
    <cfRule type="containsBlanks" priority="18" dxfId="7" stopIfTrue="1">
      <formula>LEN(TRIM(N427))=0</formula>
    </cfRule>
  </conditionalFormatting>
  <conditionalFormatting sqref="N57">
    <cfRule type="cellIs" priority="17" dxfId="29" operator="greaterThan">
      <formula>$T$16</formula>
    </cfRule>
  </conditionalFormatting>
  <conditionalFormatting sqref="H65">
    <cfRule type="containsBlanks" priority="11" dxfId="7" stopIfTrue="1">
      <formula>LEN(TRIM(H65))=0</formula>
    </cfRule>
  </conditionalFormatting>
  <conditionalFormatting sqref="N60">
    <cfRule type="containsBlanks" priority="10" dxfId="7" stopIfTrue="1">
      <formula>LEN(TRIM(N60))=0</formula>
    </cfRule>
  </conditionalFormatting>
  <conditionalFormatting sqref="M65">
    <cfRule type="containsBlanks" priority="9" dxfId="7" stopIfTrue="1">
      <formula>LEN(TRIM(M65))=0</formula>
    </cfRule>
  </conditionalFormatting>
  <conditionalFormatting sqref="H124">
    <cfRule type="containsBlanks" priority="8" dxfId="7" stopIfTrue="1">
      <formula>LEN(TRIM(H124))=0</formula>
    </cfRule>
  </conditionalFormatting>
  <conditionalFormatting sqref="M124">
    <cfRule type="containsBlanks" priority="7" dxfId="7" stopIfTrue="1">
      <formula>LEN(TRIM(M124))=0</formula>
    </cfRule>
  </conditionalFormatting>
  <conditionalFormatting sqref="N119">
    <cfRule type="containsBlanks" priority="6" dxfId="7" stopIfTrue="1">
      <formula>LEN(TRIM(N119))=0</formula>
    </cfRule>
  </conditionalFormatting>
  <conditionalFormatting sqref="N178">
    <cfRule type="containsBlanks" priority="5" dxfId="7" stopIfTrue="1">
      <formula>LEN(TRIM(N178))=0</formula>
    </cfRule>
  </conditionalFormatting>
  <conditionalFormatting sqref="N236">
    <cfRule type="containsBlanks" priority="4" dxfId="7" stopIfTrue="1">
      <formula>LEN(TRIM(N236))=0</formula>
    </cfRule>
  </conditionalFormatting>
  <conditionalFormatting sqref="N294">
    <cfRule type="containsBlanks" priority="3" dxfId="7" stopIfTrue="1">
      <formula>LEN(TRIM(N294))=0</formula>
    </cfRule>
  </conditionalFormatting>
  <conditionalFormatting sqref="N352">
    <cfRule type="containsBlanks" priority="2" dxfId="7" stopIfTrue="1">
      <formula>LEN(TRIM(N352))=0</formula>
    </cfRule>
  </conditionalFormatting>
  <conditionalFormatting sqref="N410">
    <cfRule type="containsBlanks" priority="1" dxfId="7" stopIfTrue="1">
      <formula>LEN(TRIM(N410))=0</formula>
    </cfRule>
  </conditionalFormatting>
  <dataValidations count="8">
    <dataValidation type="list" allowBlank="1" showInputMessage="1" showErrorMessage="1" sqref="N10 N361 N69 N128 N187 N245 N303 N419">
      <formula1>$AB$5:$AB$6</formula1>
    </dataValidation>
    <dataValidation type="list" allowBlank="1" showInputMessage="1" showErrorMessage="1" sqref="D10 D69 D128 D187 D245 D303 D361 D419">
      <formula1>$Y$5:$Y$8</formula1>
    </dataValidation>
    <dataValidation type="list" allowBlank="1" showInputMessage="1" showErrorMessage="1" sqref="D6 D65 D124 D183 D241 D299 D357 D415">
      <formula1>$U$5:$U$8</formula1>
    </dataValidation>
    <dataValidation type="list" allowBlank="1" showInputMessage="1" showErrorMessage="1" sqref="D12 D71 D130 D189 D247 D305 D363 D421">
      <formula1>$AA$5:$AA$8</formula1>
    </dataValidation>
    <dataValidation type="list" allowBlank="1" showInputMessage="1" showErrorMessage="1" sqref="D8 D67 D126 D185 D243 D301 D359 D417">
      <formula1>$W$5:$W$7</formula1>
    </dataValidation>
    <dataValidation type="list" allowBlank="1" showInputMessage="1" showErrorMessage="1" sqref="H23:I49 H82:I108 H141:I167 H200:I226 H258:I284 H316:I342 H374:I400 H432:I458">
      <formula1>$AC$5:$AC$9</formula1>
    </dataValidation>
    <dataValidation type="list" allowBlank="1" showInputMessage="1" showErrorMessage="1" sqref="N8 N67 N126 N185 N243 N301 N359 N417">
      <formula1>$AD$5:$AD$7</formula1>
    </dataValidation>
    <dataValidation type="list" allowBlank="1" showInputMessage="1" showErrorMessage="1" sqref="N11 N70 N129 N188 N246 N304 N362 N420">
      <formula1>$AE$5:$AE$9</formula1>
    </dataValidation>
  </dataValidations>
  <printOptions/>
  <pageMargins left="0.7" right="0.7" top="0.75" bottom="0.75" header="0.3" footer="0.3"/>
  <pageSetup horizontalDpi="600" verticalDpi="600" orientation="portrait" scale="61" r:id="rId4"/>
  <rowBreaks count="7" manualBreakCount="7">
    <brk id="58" max="16383" man="1"/>
    <brk id="117" max="16383" man="1"/>
    <brk id="176" max="16383" man="1"/>
    <brk id="235" max="16383" man="1"/>
    <brk id="293" max="16383" man="1"/>
    <brk id="351" max="16383" man="1"/>
    <brk id="409" max="16383" man="1"/>
  </rowBreaks>
  <colBreaks count="1" manualBreakCount="1">
    <brk id="14" max="163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6"/>
  <sheetViews>
    <sheetView view="pageBreakPreview" zoomScale="60" zoomScalePageLayoutView="55" workbookViewId="0" topLeftCell="A1">
      <selection activeCell="A4" sqref="A4:N4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4" width="7.7109375" style="138" customWidth="1"/>
    <col min="5" max="5" width="11.421875" style="138" customWidth="1"/>
    <col min="6" max="6" width="3.140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3.421875" style="138" hidden="1" customWidth="1"/>
    <col min="17" max="17" width="15.421875" style="138" hidden="1" customWidth="1"/>
    <col min="18" max="18" width="18.140625" style="138" hidden="1" customWidth="1"/>
    <col min="19" max="19" width="11.8515625" style="138" bestFit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223</v>
      </c>
    </row>
    <row r="2" spans="1:14" ht="18">
      <c r="A2" s="245" t="s">
        <v>62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ht="18">
      <c r="A3" s="199"/>
      <c r="B3" s="199"/>
      <c r="C3" s="199"/>
      <c r="D3" s="199"/>
      <c r="E3" s="199"/>
      <c r="F3" s="22" t="str">
        <f>+CDV_PROY_BT!F3</f>
        <v>JEFATURA DE PLANIFICACION</v>
      </c>
      <c r="G3" s="199"/>
      <c r="H3" s="199"/>
      <c r="I3" s="199"/>
      <c r="J3" s="199"/>
      <c r="K3" s="199"/>
      <c r="L3" s="199"/>
      <c r="M3" s="199"/>
      <c r="N3" s="87"/>
    </row>
    <row r="4" spans="1:31" ht="15.75">
      <c r="A4" s="246" t="s">
        <v>183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170</v>
      </c>
      <c r="AE4" s="138" t="s">
        <v>176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171</v>
      </c>
      <c r="AE5" s="138">
        <v>0.65</v>
      </c>
    </row>
    <row r="6" spans="1:31" ht="15.75" thickBot="1">
      <c r="A6" s="25" t="s">
        <v>23</v>
      </c>
      <c r="B6" s="26"/>
      <c r="C6" s="88"/>
      <c r="D6" s="259" t="s">
        <v>67</v>
      </c>
      <c r="E6" s="260"/>
      <c r="F6" s="278" t="s">
        <v>189</v>
      </c>
      <c r="G6" s="279"/>
      <c r="H6" s="263" t="s">
        <v>90</v>
      </c>
      <c r="I6" s="264"/>
      <c r="J6" s="265"/>
      <c r="K6" s="268" t="s">
        <v>81</v>
      </c>
      <c r="L6" s="269"/>
      <c r="M6" s="261" t="s">
        <v>218</v>
      </c>
      <c r="N6" s="262"/>
      <c r="Q6" s="198"/>
      <c r="R6" s="198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172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173</v>
      </c>
      <c r="AE7" s="138">
        <v>0.8</v>
      </c>
    </row>
    <row r="8" spans="1:31" ht="15.75" thickBot="1">
      <c r="A8" s="25" t="s">
        <v>24</v>
      </c>
      <c r="B8" s="26"/>
      <c r="C8" s="26"/>
      <c r="D8" s="259" t="s">
        <v>82</v>
      </c>
      <c r="E8" s="258"/>
      <c r="F8" s="260"/>
      <c r="G8" s="25"/>
      <c r="H8" s="29"/>
      <c r="I8" s="29"/>
      <c r="J8" s="26"/>
      <c r="K8" s="26"/>
      <c r="L8" s="26"/>
      <c r="M8" s="26"/>
      <c r="N8" s="212"/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08"/>
      <c r="M9" s="23"/>
      <c r="N9" s="213"/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53" t="s">
        <v>9</v>
      </c>
      <c r="E10" s="294"/>
      <c r="F10" s="294"/>
      <c r="G10" s="254"/>
      <c r="H10" s="18"/>
      <c r="I10" s="18"/>
      <c r="J10" s="18"/>
      <c r="K10" s="23"/>
      <c r="L10" s="223" t="s">
        <v>185</v>
      </c>
      <c r="M10" s="18"/>
      <c r="N10" s="162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5" t="s">
        <v>182</v>
      </c>
      <c r="L11" s="29"/>
      <c r="M11" s="220"/>
      <c r="N11" s="209" t="str">
        <f>IF(N10="","",IF(N10="3F","13.8 KV","7.97 kV"))</f>
        <v>7.97 kV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184</v>
      </c>
      <c r="B12" s="37"/>
      <c r="C12" s="37"/>
      <c r="D12" s="150">
        <v>1</v>
      </c>
      <c r="E12" s="38"/>
      <c r="F12" s="39"/>
      <c r="G12" s="39"/>
      <c r="H12" s="39"/>
      <c r="I12" s="39"/>
      <c r="J12" s="37"/>
      <c r="K12" s="25" t="s">
        <v>186</v>
      </c>
      <c r="L12" s="26"/>
      <c r="M12" s="221"/>
      <c r="N12" s="222">
        <v>25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10</v>
      </c>
      <c r="E13" s="21"/>
      <c r="F13" s="28"/>
      <c r="G13" s="42" t="s">
        <v>32</v>
      </c>
      <c r="H13" s="274" t="s">
        <v>205</v>
      </c>
      <c r="I13" s="275"/>
      <c r="J13" s="282"/>
      <c r="K13" s="216"/>
      <c r="L13" s="21"/>
      <c r="M13" s="214"/>
      <c r="N13" s="217"/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900</v>
      </c>
      <c r="E14" s="41"/>
      <c r="F14" s="28"/>
      <c r="G14" s="42" t="s">
        <v>35</v>
      </c>
      <c r="H14" s="283">
        <v>43598</v>
      </c>
      <c r="I14" s="284"/>
      <c r="J14" s="285"/>
      <c r="K14" s="41"/>
      <c r="L14" s="21"/>
      <c r="M14" s="214"/>
      <c r="N14" s="218" t="str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/>
      </c>
      <c r="U14" s="138" t="s">
        <v>87</v>
      </c>
      <c r="W14" s="138">
        <v>37.5</v>
      </c>
      <c r="X14" s="138">
        <v>100</v>
      </c>
    </row>
    <row r="15" spans="1:24" ht="33.75" customHeight="1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44"/>
      <c r="L15" s="34"/>
      <c r="M15" s="215"/>
      <c r="N15" s="219" t="str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/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 t="s">
        <v>190</v>
      </c>
      <c r="L18" s="21"/>
      <c r="M18" s="21"/>
      <c r="N18" s="163">
        <v>0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188</v>
      </c>
      <c r="M19" s="142"/>
      <c r="N19" s="163" t="s">
        <v>138</v>
      </c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7" t="s">
        <v>38</v>
      </c>
      <c r="B21" s="252"/>
      <c r="C21" s="287" t="s">
        <v>39</v>
      </c>
      <c r="D21" s="288"/>
      <c r="E21" s="292" t="s">
        <v>42</v>
      </c>
      <c r="F21" s="293"/>
      <c r="G21" s="257" t="s">
        <v>43</v>
      </c>
      <c r="H21" s="251"/>
      <c r="I21" s="251"/>
      <c r="J21" s="252"/>
      <c r="K21" s="255" t="s">
        <v>191</v>
      </c>
      <c r="L21" s="251" t="s">
        <v>45</v>
      </c>
      <c r="M21" s="251"/>
      <c r="N21" s="252"/>
      <c r="U21" s="237" t="s">
        <v>98</v>
      </c>
      <c r="V21" s="237" t="s">
        <v>99</v>
      </c>
    </row>
    <row r="22" spans="1:22" ht="15.75" thickBot="1">
      <c r="A22" s="52" t="s">
        <v>46</v>
      </c>
      <c r="B22" s="52" t="s">
        <v>47</v>
      </c>
      <c r="C22" s="289" t="s">
        <v>48</v>
      </c>
      <c r="D22" s="290"/>
      <c r="E22" s="289" t="s">
        <v>187</v>
      </c>
      <c r="F22" s="290"/>
      <c r="G22" s="56" t="s">
        <v>52</v>
      </c>
      <c r="H22" s="43" t="s">
        <v>105</v>
      </c>
      <c r="I22" s="124" t="s">
        <v>106</v>
      </c>
      <c r="J22" s="43" t="s">
        <v>53</v>
      </c>
      <c r="K22" s="256"/>
      <c r="L22" s="53" t="s">
        <v>54</v>
      </c>
      <c r="M22" s="43" t="s">
        <v>55</v>
      </c>
      <c r="N22" s="57" t="s">
        <v>56</v>
      </c>
      <c r="P22" s="272" t="s">
        <v>202</v>
      </c>
      <c r="Q22" s="272"/>
      <c r="R22" s="272"/>
      <c r="U22" s="237"/>
      <c r="V22" s="237"/>
    </row>
    <row r="23" spans="1:22" ht="15">
      <c r="A23" s="191" t="s">
        <v>138</v>
      </c>
      <c r="B23" s="164" t="s">
        <v>134</v>
      </c>
      <c r="C23" s="291">
        <f>40+29+27+28</f>
        <v>124</v>
      </c>
      <c r="D23" s="291"/>
      <c r="E23" s="280">
        <v>25</v>
      </c>
      <c r="F23" s="281"/>
      <c r="G23" s="95">
        <f aca="true" t="shared" si="0" ref="G23:G49"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IF(OR(H23="",$D$10="",$N$10=""),"",IF($D$10="COBRE",VLOOKUP(CDV_PROY_MT!H23,FDV!$H$16:$K$24,IF(CDV_PROY_MT!$N$10="3F",3,4),FALSE),IF($D$10="ACS",VLOOKUP(CDV_PROY_MT!H23,FDV!$H$10:$K$15,IF(CDV_PROY_MT!$N$10="3F",3,4),FALSE),IF($D$10="5005 (PREENSAMBLADO)",VLOOKUP(CDV_PROY_MT!H23,FDV!$H$4:$K$9,IF(CDV_PROY_MT!$N$10="3F",3,4),FALSE),VLOOKUP(CDV_PROY_MT!H23,FDV!$H$25:$K$30,IF(CDV_PROY_MT!$N$10="3F",3,4),FALSE)))))</f>
        <v>287</v>
      </c>
      <c r="K23" s="60">
        <f>IF(C23="","",ROUND(E23*C23/1000,0))</f>
        <v>3</v>
      </c>
      <c r="L23" s="61">
        <f aca="true" t="shared" si="1" ref="L23:L49">IF($N$19="","",IF(C23="","",ROUND(K23/J23,2)))</f>
        <v>0.01</v>
      </c>
      <c r="M23" s="61">
        <f>IF(C23="","",VLOOKUP(A23,$B$23:$N$50,12,FALSE)+L23+N18)</f>
        <v>0.01</v>
      </c>
      <c r="N23" s="154">
        <f>+M23</f>
        <v>0.01</v>
      </c>
      <c r="P23" s="273" t="s">
        <v>200</v>
      </c>
      <c r="Q23" s="224" t="s">
        <v>198</v>
      </c>
      <c r="R23" s="226">
        <v>3</v>
      </c>
      <c r="U23" s="138">
        <f aca="true" t="shared" si="2" ref="U23:U50">+IF(C23="",0,C23)</f>
        <v>124</v>
      </c>
      <c r="V23" s="138">
        <f aca="true" t="shared" si="3" ref="V23:V50">IF(OR(C23="",G23=""),0,C23*G23)</f>
        <v>124</v>
      </c>
    </row>
    <row r="24" spans="1:22" ht="15">
      <c r="A24" s="167"/>
      <c r="B24" s="168"/>
      <c r="C24" s="286"/>
      <c r="D24" s="286"/>
      <c r="E24" s="276"/>
      <c r="F24" s="277"/>
      <c r="G24" s="59" t="str">
        <f t="shared" si="0"/>
        <v/>
      </c>
      <c r="H24" s="183"/>
      <c r="I24" s="183"/>
      <c r="J24" s="59" t="str">
        <f>IF(OR(H24="",$D$10="",$N$10=""),"",IF($D$10="COBRE",VLOOKUP(CDV_PROY_MT!H24,FDV!$H$16:$K$24,IF(CDV_PROY_MT!$N$10="3F",3,4),FALSE),IF($D$10="ACS",VLOOKUP(CDV_PROY_MT!H24,FDV!$H$10:$K$15,IF(CDV_PROY_MT!$N$10="3F",3,4),FALSE),IF($D$10="5005 (PREENSAMBLADO)",VLOOKUP(CDV_PROY_MT!H24,FDV!$H$4:$K$9,IF(CDV_PROY_MT!$N$10="3F",3,4),FALSE),VLOOKUP(CDV_PROY_MT!H24,FDV!$H$25:$K$30,IF(CDV_PROY_MT!$N$10="3F",3,4),FALSE)))))</f>
        <v/>
      </c>
      <c r="K24" s="63" t="str">
        <f aca="true" t="shared" si="4" ref="K24:K49">IF(C24="","",ROUND(E24*C24/1000,0))</f>
        <v/>
      </c>
      <c r="L24" s="62" t="str">
        <f t="shared" si="1"/>
        <v/>
      </c>
      <c r="M24" s="62" t="str">
        <f aca="true" t="shared" si="5" ref="M24:M49">IF(C24="","",VLOOKUP(A24,$B$23:$N$50,12,FALSE)+L24)</f>
        <v/>
      </c>
      <c r="N24" s="155"/>
      <c r="P24" s="273"/>
      <c r="Q24" s="224" t="s">
        <v>199</v>
      </c>
      <c r="R24" s="226">
        <v>5</v>
      </c>
      <c r="U24" s="138">
        <f t="shared" si="2"/>
        <v>0</v>
      </c>
      <c r="V24" s="138">
        <f t="shared" si="3"/>
        <v>0</v>
      </c>
    </row>
    <row r="25" spans="1:22" ht="15">
      <c r="A25" s="167"/>
      <c r="B25" s="168"/>
      <c r="C25" s="286"/>
      <c r="D25" s="286"/>
      <c r="E25" s="276"/>
      <c r="F25" s="277"/>
      <c r="G25" s="59" t="str">
        <f t="shared" si="0"/>
        <v/>
      </c>
      <c r="H25" s="183"/>
      <c r="I25" s="183"/>
      <c r="J25" s="59" t="str">
        <f>IF(OR(H25="",$D$10="",$N$10=""),"",IF($D$10="COBRE",VLOOKUP(CDV_PROY_MT!H25,FDV!$H$16:$K$24,IF(CDV_PROY_MT!$N$10="3F",3,4),FALSE),IF($D$10="ACS",VLOOKUP(CDV_PROY_MT!H25,FDV!$H$10:$K$15,IF(CDV_PROY_MT!$N$10="3F",3,4),FALSE),IF($D$10="5005 (PREENSAMBLADO)",VLOOKUP(CDV_PROY_MT!H25,FDV!$H$4:$K$9,IF(CDV_PROY_MT!$N$10="3F",3,4),FALSE),VLOOKUP(CDV_PROY_MT!H25,FDV!$H$25:$K$30,IF(CDV_PROY_MT!$N$10="3F",3,4),FALSE)))))</f>
        <v/>
      </c>
      <c r="K25" s="63" t="str">
        <f t="shared" si="4"/>
        <v/>
      </c>
      <c r="L25" s="62" t="str">
        <f t="shared" si="1"/>
        <v/>
      </c>
      <c r="M25" s="62" t="str">
        <f t="shared" si="5"/>
        <v/>
      </c>
      <c r="N25" s="155"/>
      <c r="P25" s="273" t="s">
        <v>201</v>
      </c>
      <c r="Q25" s="224" t="s">
        <v>198</v>
      </c>
      <c r="R25" s="226">
        <v>3</v>
      </c>
      <c r="U25" s="138">
        <f t="shared" si="2"/>
        <v>0</v>
      </c>
      <c r="V25" s="138">
        <f t="shared" si="3"/>
        <v>0</v>
      </c>
    </row>
    <row r="26" spans="1:22" ht="15">
      <c r="A26" s="167"/>
      <c r="B26" s="168"/>
      <c r="C26" s="286"/>
      <c r="D26" s="286"/>
      <c r="E26" s="276"/>
      <c r="F26" s="277"/>
      <c r="G26" s="59" t="str">
        <f t="shared" si="0"/>
        <v/>
      </c>
      <c r="H26" s="183"/>
      <c r="I26" s="183"/>
      <c r="J26" s="59" t="str">
        <f>IF(OR(H26="",$D$10="",$N$10=""),"",IF($D$10="COBRE",VLOOKUP(CDV_PROY_MT!H26,FDV!$H$16:$K$24,IF(CDV_PROY_MT!$N$10="3F",3,4),FALSE),IF($D$10="ACS",VLOOKUP(CDV_PROY_MT!H26,FDV!$H$10:$K$15,IF(CDV_PROY_MT!$N$10="3F",3,4),FALSE),IF($D$10="5005 (PREENSAMBLADO)",VLOOKUP(CDV_PROY_MT!H26,FDV!$H$4:$K$9,IF(CDV_PROY_MT!$N$10="3F",3,4),FALSE),VLOOKUP(CDV_PROY_MT!H26,FDV!$H$25:$K$30,IF(CDV_PROY_MT!$N$10="3F",3,4),FALSE)))))</f>
        <v/>
      </c>
      <c r="K26" s="63" t="str">
        <f t="shared" si="4"/>
        <v/>
      </c>
      <c r="L26" s="62" t="str">
        <f t="shared" si="1"/>
        <v/>
      </c>
      <c r="M26" s="62" t="str">
        <f t="shared" si="5"/>
        <v/>
      </c>
      <c r="N26" s="155"/>
      <c r="P26" s="273"/>
      <c r="Q26" s="224" t="s">
        <v>199</v>
      </c>
      <c r="R26" s="226">
        <v>5</v>
      </c>
      <c r="U26" s="138">
        <f t="shared" si="2"/>
        <v>0</v>
      </c>
      <c r="V26" s="138">
        <f t="shared" si="3"/>
        <v>0</v>
      </c>
    </row>
    <row r="27" spans="1:22" ht="15">
      <c r="A27" s="167"/>
      <c r="B27" s="168"/>
      <c r="C27" s="286"/>
      <c r="D27" s="286"/>
      <c r="E27" s="276"/>
      <c r="F27" s="277"/>
      <c r="G27" s="59" t="str">
        <f t="shared" si="0"/>
        <v/>
      </c>
      <c r="H27" s="183"/>
      <c r="I27" s="183"/>
      <c r="J27" s="59" t="str">
        <f>IF(OR(H27="",$D$10="",$N$10=""),"",IF($D$10="COBRE",VLOOKUP(CDV_PROY_MT!H27,FDV!$H$16:$K$24,IF(CDV_PROY_MT!$N$10="3F",3,4),FALSE),IF($D$10="ACS",VLOOKUP(CDV_PROY_MT!H27,FDV!$H$10:$K$15,IF(CDV_PROY_MT!$N$10="3F",3,4),FALSE),IF($D$10="5005 (PREENSAMBLADO)",VLOOKUP(CDV_PROY_MT!H27,FDV!$H$4:$K$9,IF(CDV_PROY_MT!$N$10="3F",3,4),FALSE),VLOOKUP(CDV_PROY_MT!H27,FDV!$H$25:$K$30,IF(CDV_PROY_MT!$N$10="3F",3,4),FALSE)))))</f>
        <v/>
      </c>
      <c r="K27" s="63" t="str">
        <f t="shared" si="4"/>
        <v/>
      </c>
      <c r="L27" s="62" t="str">
        <f t="shared" si="1"/>
        <v/>
      </c>
      <c r="M27" s="62" t="str">
        <f t="shared" si="5"/>
        <v/>
      </c>
      <c r="N27" s="155"/>
      <c r="U27" s="138">
        <f t="shared" si="2"/>
        <v>0</v>
      </c>
      <c r="V27" s="138">
        <f t="shared" si="3"/>
        <v>0</v>
      </c>
    </row>
    <row r="28" spans="1:22" ht="15">
      <c r="A28" s="167"/>
      <c r="B28" s="168"/>
      <c r="C28" s="286"/>
      <c r="D28" s="286"/>
      <c r="E28" s="276"/>
      <c r="F28" s="277"/>
      <c r="G28" s="59" t="str">
        <f t="shared" si="0"/>
        <v/>
      </c>
      <c r="H28" s="183"/>
      <c r="I28" s="183"/>
      <c r="J28" s="59" t="str">
        <f>IF(OR(H28="",$D$10="",$N$10=""),"",IF($D$10="COBRE",VLOOKUP(CDV_PROY_MT!H28,FDV!$H$16:$K$24,IF(CDV_PROY_MT!$N$10="3F",3,4),FALSE),IF($D$10="ACS",VLOOKUP(CDV_PROY_MT!H28,FDV!$H$10:$K$15,IF(CDV_PROY_MT!$N$10="3F",3,4),FALSE),IF($D$10="5005 (PREENSAMBLADO)",VLOOKUP(CDV_PROY_MT!H28,FDV!$H$4:$K$9,IF(CDV_PROY_MT!$N$10="3F",3,4),FALSE),VLOOKUP(CDV_PROY_MT!H28,FDV!$H$25:$K$30,IF(CDV_PROY_MT!$N$10="3F",3,4),FALSE)))))</f>
        <v/>
      </c>
      <c r="K28" s="63" t="str">
        <f t="shared" si="4"/>
        <v/>
      </c>
      <c r="L28" s="62" t="str">
        <f t="shared" si="1"/>
        <v/>
      </c>
      <c r="M28" s="62" t="str">
        <f t="shared" si="5"/>
        <v/>
      </c>
      <c r="N28" s="155"/>
      <c r="U28" s="138">
        <f t="shared" si="2"/>
        <v>0</v>
      </c>
      <c r="V28" s="138">
        <f t="shared" si="3"/>
        <v>0</v>
      </c>
    </row>
    <row r="29" spans="1:22" ht="15">
      <c r="A29" s="167"/>
      <c r="B29" s="168"/>
      <c r="C29" s="286"/>
      <c r="D29" s="286"/>
      <c r="E29" s="276"/>
      <c r="F29" s="277"/>
      <c r="G29" s="59" t="str">
        <f t="shared" si="0"/>
        <v/>
      </c>
      <c r="H29" s="183"/>
      <c r="I29" s="183"/>
      <c r="J29" s="59" t="str">
        <f>IF(OR(H29="",$D$10="",$N$10=""),"",IF($D$10="COBRE",VLOOKUP(CDV_PROY_MT!H29,FDV!$H$16:$K$24,IF(CDV_PROY_MT!$N$10="3F",3,4),FALSE),IF($D$10="ACS",VLOOKUP(CDV_PROY_MT!H29,FDV!$H$10:$K$15,IF(CDV_PROY_MT!$N$10="3F",3,4),FALSE),IF($D$10="5005 (PREENSAMBLADO)",VLOOKUP(CDV_PROY_MT!H29,FDV!$H$4:$K$9,IF(CDV_PROY_MT!$N$10="3F",3,4),FALSE),VLOOKUP(CDV_PROY_MT!H29,FDV!$H$25:$K$30,IF(CDV_PROY_MT!$N$10="3F",3,4),FALSE)))))</f>
        <v/>
      </c>
      <c r="K29" s="63" t="str">
        <f t="shared" si="4"/>
        <v/>
      </c>
      <c r="L29" s="62" t="str">
        <f t="shared" si="1"/>
        <v/>
      </c>
      <c r="M29" s="62" t="str">
        <f t="shared" si="5"/>
        <v/>
      </c>
      <c r="N29" s="155"/>
      <c r="U29" s="138">
        <f t="shared" si="2"/>
        <v>0</v>
      </c>
      <c r="V29" s="138">
        <f t="shared" si="3"/>
        <v>0</v>
      </c>
    </row>
    <row r="30" spans="1:22" ht="15">
      <c r="A30" s="167"/>
      <c r="B30" s="168"/>
      <c r="C30" s="286"/>
      <c r="D30" s="286"/>
      <c r="E30" s="276"/>
      <c r="F30" s="277"/>
      <c r="G30" s="59" t="str">
        <f t="shared" si="0"/>
        <v/>
      </c>
      <c r="H30" s="183"/>
      <c r="I30" s="183"/>
      <c r="J30" s="59" t="str">
        <f>IF(OR(H30="",$D$10="",$N$10=""),"",IF($D$10="COBRE",VLOOKUP(CDV_PROY_MT!H30,FDV!$H$16:$K$24,IF(CDV_PROY_MT!$N$10="3F",3,4),FALSE),IF($D$10="ACS",VLOOKUP(CDV_PROY_MT!H30,FDV!$H$10:$K$15,IF(CDV_PROY_MT!$N$10="3F",3,4),FALSE),IF($D$10="5005 (PREENSAMBLADO)",VLOOKUP(CDV_PROY_MT!H30,FDV!$H$4:$K$9,IF(CDV_PROY_MT!$N$10="3F",3,4),FALSE),VLOOKUP(CDV_PROY_MT!H30,FDV!$H$25:$K$30,IF(CDV_PROY_MT!$N$10="3F",3,4),FALSE)))))</f>
        <v/>
      </c>
      <c r="K30" s="63" t="str">
        <f t="shared" si="4"/>
        <v/>
      </c>
      <c r="L30" s="62" t="str">
        <f t="shared" si="1"/>
        <v/>
      </c>
      <c r="M30" s="62" t="str">
        <f t="shared" si="5"/>
        <v/>
      </c>
      <c r="N30" s="155"/>
      <c r="U30" s="138">
        <f t="shared" si="2"/>
        <v>0</v>
      </c>
      <c r="V30" s="138">
        <f t="shared" si="3"/>
        <v>0</v>
      </c>
    </row>
    <row r="31" spans="1:22" ht="15">
      <c r="A31" s="171"/>
      <c r="B31" s="172"/>
      <c r="C31" s="286"/>
      <c r="D31" s="286"/>
      <c r="E31" s="276"/>
      <c r="F31" s="277"/>
      <c r="G31" s="59" t="str">
        <f t="shared" si="0"/>
        <v/>
      </c>
      <c r="H31" s="183"/>
      <c r="I31" s="183"/>
      <c r="J31" s="59" t="str">
        <f>IF(OR(H31="",$D$10="",$N$10=""),"",IF($D$10="COBRE",VLOOKUP(CDV_PROY_MT!H31,FDV!$H$16:$K$24,IF(CDV_PROY_MT!$N$10="3F",3,4),FALSE),IF($D$10="ACS",VLOOKUP(CDV_PROY_MT!H31,FDV!$H$10:$K$15,IF(CDV_PROY_MT!$N$10="3F",3,4),FALSE),IF($D$10="5005 (PREENSAMBLADO)",VLOOKUP(CDV_PROY_MT!H31,FDV!$H$4:$K$9,IF(CDV_PROY_MT!$N$10="3F",3,4),FALSE),VLOOKUP(CDV_PROY_MT!H31,FDV!$H$25:$K$30,IF(CDV_PROY_MT!$N$10="3F",3,4),FALSE)))))</f>
        <v/>
      </c>
      <c r="K31" s="63" t="str">
        <f t="shared" si="4"/>
        <v/>
      </c>
      <c r="L31" s="62" t="str">
        <f t="shared" si="1"/>
        <v/>
      </c>
      <c r="M31" s="62" t="str">
        <f t="shared" si="5"/>
        <v/>
      </c>
      <c r="N31" s="155"/>
      <c r="U31" s="138">
        <f t="shared" si="2"/>
        <v>0</v>
      </c>
      <c r="V31" s="138">
        <f t="shared" si="3"/>
        <v>0</v>
      </c>
    </row>
    <row r="32" spans="1:22" ht="15">
      <c r="A32" s="167"/>
      <c r="B32" s="168"/>
      <c r="C32" s="286"/>
      <c r="D32" s="286"/>
      <c r="E32" s="276"/>
      <c r="F32" s="277"/>
      <c r="G32" s="59" t="str">
        <f t="shared" si="0"/>
        <v/>
      </c>
      <c r="H32" s="183"/>
      <c r="I32" s="183"/>
      <c r="J32" s="59" t="str">
        <f>IF(OR(H32="",$D$10="",$N$10=""),"",IF($D$10="COBRE",VLOOKUP(CDV_PROY_MT!H32,FDV!$H$16:$K$24,IF(CDV_PROY_MT!$N$10="3F",3,4),FALSE),IF($D$10="ACS",VLOOKUP(CDV_PROY_MT!H32,FDV!$H$10:$K$15,IF(CDV_PROY_MT!$N$10="3F",3,4),FALSE),IF($D$10="5005 (PREENSAMBLADO)",VLOOKUP(CDV_PROY_MT!H32,FDV!$H$4:$K$9,IF(CDV_PROY_MT!$N$10="3F",3,4),FALSE),VLOOKUP(CDV_PROY_MT!H32,FDV!$H$25:$K$30,IF(CDV_PROY_MT!$N$10="3F",3,4),FALSE)))))</f>
        <v/>
      </c>
      <c r="K32" s="63" t="str">
        <f t="shared" si="4"/>
        <v/>
      </c>
      <c r="L32" s="62" t="str">
        <f t="shared" si="1"/>
        <v/>
      </c>
      <c r="M32" s="62" t="str">
        <f t="shared" si="5"/>
        <v/>
      </c>
      <c r="N32" s="155"/>
      <c r="U32" s="138">
        <f t="shared" si="2"/>
        <v>0</v>
      </c>
      <c r="V32" s="138">
        <f t="shared" si="3"/>
        <v>0</v>
      </c>
    </row>
    <row r="33" spans="1:22" ht="15">
      <c r="A33" s="175"/>
      <c r="B33" s="176"/>
      <c r="C33" s="286"/>
      <c r="D33" s="286"/>
      <c r="E33" s="276"/>
      <c r="F33" s="277"/>
      <c r="G33" s="59" t="str">
        <f t="shared" si="0"/>
        <v/>
      </c>
      <c r="H33" s="183"/>
      <c r="I33" s="183"/>
      <c r="J33" s="59" t="str">
        <f>IF(OR(H33="",$D$10="",$N$10=""),"",IF($D$10="COBRE",VLOOKUP(CDV_PROY_MT!H33,FDV!$H$16:$K$24,IF(CDV_PROY_MT!$N$10="3F",3,4),FALSE),IF($D$10="ACS",VLOOKUP(CDV_PROY_MT!H33,FDV!$H$10:$K$15,IF(CDV_PROY_MT!$N$10="3F",3,4),FALSE),IF($D$10="5005 (PREENSAMBLADO)",VLOOKUP(CDV_PROY_MT!H33,FDV!$H$4:$K$9,IF(CDV_PROY_MT!$N$10="3F",3,4),FALSE),VLOOKUP(CDV_PROY_MT!H33,FDV!$H$25:$K$30,IF(CDV_PROY_MT!$N$10="3F",3,4),FALSE)))))</f>
        <v/>
      </c>
      <c r="K33" s="63" t="str">
        <f t="shared" si="4"/>
        <v/>
      </c>
      <c r="L33" s="62" t="str">
        <f t="shared" si="1"/>
        <v/>
      </c>
      <c r="M33" s="62" t="str">
        <f t="shared" si="5"/>
        <v/>
      </c>
      <c r="N33" s="155"/>
      <c r="U33" s="138">
        <f t="shared" si="2"/>
        <v>0</v>
      </c>
      <c r="V33" s="138">
        <f t="shared" si="3"/>
        <v>0</v>
      </c>
    </row>
    <row r="34" spans="1:22" ht="15">
      <c r="A34" s="167"/>
      <c r="B34" s="168"/>
      <c r="C34" s="286"/>
      <c r="D34" s="286"/>
      <c r="E34" s="276"/>
      <c r="F34" s="277"/>
      <c r="G34" s="59" t="str">
        <f t="shared" si="0"/>
        <v/>
      </c>
      <c r="H34" s="183"/>
      <c r="I34" s="183"/>
      <c r="J34" s="59" t="str">
        <f>IF(OR(H34="",$D$10="",$N$10=""),"",IF($D$10="COBRE",VLOOKUP(CDV_PROY_MT!H34,FDV!$H$16:$K$24,IF(CDV_PROY_MT!$N$10="3F",3,4),FALSE),IF($D$10="ACS",VLOOKUP(CDV_PROY_MT!H34,FDV!$H$10:$K$15,IF(CDV_PROY_MT!$N$10="3F",3,4),FALSE),IF($D$10="5005 (PREENSAMBLADO)",VLOOKUP(CDV_PROY_MT!H34,FDV!$H$4:$K$9,IF(CDV_PROY_MT!$N$10="3F",3,4),FALSE),VLOOKUP(CDV_PROY_MT!H34,FDV!$H$25:$K$30,IF(CDV_PROY_MT!$N$10="3F",3,4),FALSE)))))</f>
        <v/>
      </c>
      <c r="K34" s="63" t="str">
        <f t="shared" si="4"/>
        <v/>
      </c>
      <c r="L34" s="62" t="str">
        <f t="shared" si="1"/>
        <v/>
      </c>
      <c r="M34" s="62" t="str">
        <f t="shared" si="5"/>
        <v/>
      </c>
      <c r="N34" s="155"/>
      <c r="U34" s="138">
        <f t="shared" si="2"/>
        <v>0</v>
      </c>
      <c r="V34" s="138">
        <f t="shared" si="3"/>
        <v>0</v>
      </c>
    </row>
    <row r="35" spans="1:22" ht="15">
      <c r="A35" s="167"/>
      <c r="B35" s="168"/>
      <c r="C35" s="286"/>
      <c r="D35" s="286"/>
      <c r="E35" s="276"/>
      <c r="F35" s="277"/>
      <c r="G35" s="59" t="str">
        <f t="shared" si="0"/>
        <v/>
      </c>
      <c r="H35" s="183"/>
      <c r="I35" s="183"/>
      <c r="J35" s="59" t="str">
        <f>IF(OR(H35="",$D$10="",$N$10=""),"",IF($D$10="COBRE",VLOOKUP(CDV_PROY_MT!H35,FDV!$H$16:$K$24,IF(CDV_PROY_MT!$N$10="3F",3,4),FALSE),IF($D$10="ACS",VLOOKUP(CDV_PROY_MT!H35,FDV!$H$10:$K$15,IF(CDV_PROY_MT!$N$10="3F",3,4),FALSE),IF($D$10="5005 (PREENSAMBLADO)",VLOOKUP(CDV_PROY_MT!H35,FDV!$H$4:$K$9,IF(CDV_PROY_MT!$N$10="3F",3,4),FALSE),VLOOKUP(CDV_PROY_MT!H35,FDV!$H$25:$K$30,IF(CDV_PROY_MT!$N$10="3F",3,4),FALSE)))))</f>
        <v/>
      </c>
      <c r="K35" s="63" t="str">
        <f t="shared" si="4"/>
        <v/>
      </c>
      <c r="L35" s="62" t="str">
        <f t="shared" si="1"/>
        <v/>
      </c>
      <c r="M35" s="62" t="str">
        <f t="shared" si="5"/>
        <v/>
      </c>
      <c r="N35" s="155"/>
      <c r="U35" s="138">
        <f t="shared" si="2"/>
        <v>0</v>
      </c>
      <c r="V35" s="138">
        <f t="shared" si="3"/>
        <v>0</v>
      </c>
    </row>
    <row r="36" spans="1:22" ht="15">
      <c r="A36" s="167"/>
      <c r="B36" s="168"/>
      <c r="C36" s="286"/>
      <c r="D36" s="286"/>
      <c r="E36" s="276"/>
      <c r="F36" s="277"/>
      <c r="G36" s="59" t="str">
        <f t="shared" si="0"/>
        <v/>
      </c>
      <c r="H36" s="183"/>
      <c r="I36" s="183"/>
      <c r="J36" s="59" t="str">
        <f>IF(OR(H36="",$D$10="",$N$10=""),"",IF($D$10="COBRE",VLOOKUP(CDV_PROY_MT!H36,FDV!$H$16:$K$24,IF(CDV_PROY_MT!$N$10="3F",3,4),FALSE),IF($D$10="ACS",VLOOKUP(CDV_PROY_MT!H36,FDV!$H$10:$K$15,IF(CDV_PROY_MT!$N$10="3F",3,4),FALSE),IF($D$10="5005 (PREENSAMBLADO)",VLOOKUP(CDV_PROY_MT!H36,FDV!$H$4:$K$9,IF(CDV_PROY_MT!$N$10="3F",3,4),FALSE),VLOOKUP(CDV_PROY_MT!H36,FDV!$H$25:$K$30,IF(CDV_PROY_MT!$N$10="3F",3,4),FALSE)))))</f>
        <v/>
      </c>
      <c r="K36" s="63" t="str">
        <f t="shared" si="4"/>
        <v/>
      </c>
      <c r="L36" s="62" t="str">
        <f t="shared" si="1"/>
        <v/>
      </c>
      <c r="M36" s="62" t="str">
        <f t="shared" si="5"/>
        <v/>
      </c>
      <c r="N36" s="155"/>
      <c r="U36" s="138">
        <f t="shared" si="2"/>
        <v>0</v>
      </c>
      <c r="V36" s="138">
        <f t="shared" si="3"/>
        <v>0</v>
      </c>
    </row>
    <row r="37" spans="1:22" ht="15">
      <c r="A37" s="167"/>
      <c r="B37" s="168"/>
      <c r="C37" s="286"/>
      <c r="D37" s="286"/>
      <c r="E37" s="276"/>
      <c r="F37" s="277"/>
      <c r="G37" s="59" t="str">
        <f t="shared" si="0"/>
        <v/>
      </c>
      <c r="H37" s="183"/>
      <c r="I37" s="183"/>
      <c r="J37" s="59" t="str">
        <f>IF(OR(H37="",$D$10="",$N$10=""),"",IF($D$10="COBRE",VLOOKUP(CDV_PROY_MT!H37,FDV!$H$16:$K$24,IF(CDV_PROY_MT!$N$10="3F",3,4),FALSE),IF($D$10="ACS",VLOOKUP(CDV_PROY_MT!H37,FDV!$H$10:$K$15,IF(CDV_PROY_MT!$N$10="3F",3,4),FALSE),IF($D$10="5005 (PREENSAMBLADO)",VLOOKUP(CDV_PROY_MT!H37,FDV!$H$4:$K$9,IF(CDV_PROY_MT!$N$10="3F",3,4),FALSE),VLOOKUP(CDV_PROY_MT!H37,FDV!$H$25:$K$30,IF(CDV_PROY_MT!$N$10="3F",3,4),FALSE)))))</f>
        <v/>
      </c>
      <c r="K37" s="63" t="str">
        <f t="shared" si="4"/>
        <v/>
      </c>
      <c r="L37" s="62" t="str">
        <f t="shared" si="1"/>
        <v/>
      </c>
      <c r="M37" s="62" t="str">
        <f t="shared" si="5"/>
        <v/>
      </c>
      <c r="N37" s="155"/>
      <c r="U37" s="138">
        <f t="shared" si="2"/>
        <v>0</v>
      </c>
      <c r="V37" s="138">
        <f t="shared" si="3"/>
        <v>0</v>
      </c>
    </row>
    <row r="38" spans="1:22" ht="15">
      <c r="A38" s="167"/>
      <c r="B38" s="168"/>
      <c r="C38" s="286"/>
      <c r="D38" s="286"/>
      <c r="E38" s="276"/>
      <c r="F38" s="277"/>
      <c r="G38" s="59" t="str">
        <f t="shared" si="0"/>
        <v/>
      </c>
      <c r="H38" s="183"/>
      <c r="I38" s="183"/>
      <c r="J38" s="59" t="str">
        <f>IF(OR(H38="",$D$10="",$N$10=""),"",IF($D$10="COBRE",VLOOKUP(CDV_PROY_MT!H38,FDV!$H$16:$K$24,IF(CDV_PROY_MT!$N$10="3F",3,4),FALSE),IF($D$10="ACS",VLOOKUP(CDV_PROY_MT!H38,FDV!$H$10:$K$15,IF(CDV_PROY_MT!$N$10="3F",3,4),FALSE),IF($D$10="5005 (PREENSAMBLADO)",VLOOKUP(CDV_PROY_MT!H38,FDV!$H$4:$K$9,IF(CDV_PROY_MT!$N$10="3F",3,4),FALSE),VLOOKUP(CDV_PROY_MT!H38,FDV!$H$25:$K$30,IF(CDV_PROY_MT!$N$10="3F",3,4),FALSE)))))</f>
        <v/>
      </c>
      <c r="K38" s="63" t="str">
        <f t="shared" si="4"/>
        <v/>
      </c>
      <c r="L38" s="62" t="str">
        <f t="shared" si="1"/>
        <v/>
      </c>
      <c r="M38" s="62" t="str">
        <f t="shared" si="5"/>
        <v/>
      </c>
      <c r="N38" s="155"/>
      <c r="U38" s="138">
        <f t="shared" si="2"/>
        <v>0</v>
      </c>
      <c r="V38" s="138">
        <f t="shared" si="3"/>
        <v>0</v>
      </c>
    </row>
    <row r="39" spans="1:22" ht="15">
      <c r="A39" s="167"/>
      <c r="B39" s="168"/>
      <c r="C39" s="286"/>
      <c r="D39" s="286"/>
      <c r="E39" s="276"/>
      <c r="F39" s="277"/>
      <c r="G39" s="59" t="str">
        <f t="shared" si="0"/>
        <v/>
      </c>
      <c r="H39" s="183"/>
      <c r="I39" s="183"/>
      <c r="J39" s="59" t="str">
        <f>IF(OR(H39="",$D$10="",$N$10=""),"",IF($D$10="COBRE",VLOOKUP(CDV_PROY_MT!H39,FDV!$H$16:$K$24,IF(CDV_PROY_MT!$N$10="3F",3,4),FALSE),IF($D$10="ACS",VLOOKUP(CDV_PROY_MT!H39,FDV!$H$10:$K$15,IF(CDV_PROY_MT!$N$10="3F",3,4),FALSE),IF($D$10="5005 (PREENSAMBLADO)",VLOOKUP(CDV_PROY_MT!H39,FDV!$H$4:$K$9,IF(CDV_PROY_MT!$N$10="3F",3,4),FALSE),VLOOKUP(CDV_PROY_MT!H39,FDV!$H$25:$K$30,IF(CDV_PROY_MT!$N$10="3F",3,4),FALSE)))))</f>
        <v/>
      </c>
      <c r="K39" s="63" t="str">
        <f t="shared" si="4"/>
        <v/>
      </c>
      <c r="L39" s="62" t="str">
        <f t="shared" si="1"/>
        <v/>
      </c>
      <c r="M39" s="62" t="str">
        <f t="shared" si="5"/>
        <v/>
      </c>
      <c r="N39" s="155"/>
      <c r="U39" s="138">
        <f t="shared" si="2"/>
        <v>0</v>
      </c>
      <c r="V39" s="138">
        <f t="shared" si="3"/>
        <v>0</v>
      </c>
    </row>
    <row r="40" spans="1:22" ht="15">
      <c r="A40" s="167"/>
      <c r="B40" s="168"/>
      <c r="C40" s="286"/>
      <c r="D40" s="286"/>
      <c r="E40" s="276"/>
      <c r="F40" s="277"/>
      <c r="G40" s="59" t="str">
        <f t="shared" si="0"/>
        <v/>
      </c>
      <c r="H40" s="183"/>
      <c r="I40" s="183"/>
      <c r="J40" s="59" t="str">
        <f>IF(OR(H40="",$D$10="",$N$10=""),"",IF($D$10="COBRE",VLOOKUP(CDV_PROY_MT!H40,FDV!$H$16:$K$24,IF(CDV_PROY_MT!$N$10="3F",3,4),FALSE),IF($D$10="ACS",VLOOKUP(CDV_PROY_MT!H40,FDV!$H$10:$K$15,IF(CDV_PROY_MT!$N$10="3F",3,4),FALSE),IF($D$10="5005 (PREENSAMBLADO)",VLOOKUP(CDV_PROY_MT!H40,FDV!$H$4:$K$9,IF(CDV_PROY_MT!$N$10="3F",3,4),FALSE),VLOOKUP(CDV_PROY_MT!H40,FDV!$H$25:$K$30,IF(CDV_PROY_MT!$N$10="3F",3,4),FALSE)))))</f>
        <v/>
      </c>
      <c r="K40" s="63" t="str">
        <f t="shared" si="4"/>
        <v/>
      </c>
      <c r="L40" s="62" t="str">
        <f t="shared" si="1"/>
        <v/>
      </c>
      <c r="M40" s="62" t="str">
        <f t="shared" si="5"/>
        <v/>
      </c>
      <c r="N40" s="155"/>
      <c r="U40" s="138">
        <f t="shared" si="2"/>
        <v>0</v>
      </c>
      <c r="V40" s="138">
        <f t="shared" si="3"/>
        <v>0</v>
      </c>
    </row>
    <row r="41" spans="1:22" ht="15">
      <c r="A41" s="167"/>
      <c r="B41" s="168"/>
      <c r="C41" s="286"/>
      <c r="D41" s="286"/>
      <c r="E41" s="276"/>
      <c r="F41" s="277"/>
      <c r="G41" s="59" t="str">
        <f t="shared" si="0"/>
        <v/>
      </c>
      <c r="H41" s="183"/>
      <c r="I41" s="183"/>
      <c r="J41" s="59" t="str">
        <f>IF(OR(H41="",$D$10="",$N$10=""),"",IF($D$10="COBRE",VLOOKUP(CDV_PROY_MT!H41,FDV!$H$16:$K$24,IF(CDV_PROY_MT!$N$10="3F",3,4),FALSE),IF($D$10="ACS",VLOOKUP(CDV_PROY_MT!H41,FDV!$H$10:$K$15,IF(CDV_PROY_MT!$N$10="3F",3,4),FALSE),IF($D$10="5005 (PREENSAMBLADO)",VLOOKUP(CDV_PROY_MT!H41,FDV!$H$4:$K$9,IF(CDV_PROY_MT!$N$10="3F",3,4),FALSE),VLOOKUP(CDV_PROY_MT!H41,FDV!$H$25:$K$30,IF(CDV_PROY_MT!$N$10="3F",3,4),FALSE)))))</f>
        <v/>
      </c>
      <c r="K41" s="63" t="str">
        <f t="shared" si="4"/>
        <v/>
      </c>
      <c r="L41" s="62" t="str">
        <f t="shared" si="1"/>
        <v/>
      </c>
      <c r="M41" s="62" t="str">
        <f t="shared" si="5"/>
        <v/>
      </c>
      <c r="N41" s="155"/>
      <c r="U41" s="138">
        <f t="shared" si="2"/>
        <v>0</v>
      </c>
      <c r="V41" s="138">
        <f t="shared" si="3"/>
        <v>0</v>
      </c>
    </row>
    <row r="42" spans="1:22" ht="15">
      <c r="A42" s="167"/>
      <c r="B42" s="168"/>
      <c r="C42" s="286"/>
      <c r="D42" s="286"/>
      <c r="E42" s="276"/>
      <c r="F42" s="277"/>
      <c r="G42" s="59" t="str">
        <f t="shared" si="0"/>
        <v/>
      </c>
      <c r="H42" s="183"/>
      <c r="I42" s="183"/>
      <c r="J42" s="59" t="str">
        <f>IF(OR(H42="",$D$10="",$N$10=""),"",IF($D$10="COBRE",VLOOKUP(CDV_PROY_MT!H42,FDV!$H$16:$K$24,IF(CDV_PROY_MT!$N$10="3F",3,4),FALSE),IF($D$10="ACS",VLOOKUP(CDV_PROY_MT!H42,FDV!$H$10:$K$15,IF(CDV_PROY_MT!$N$10="3F",3,4),FALSE),IF($D$10="5005 (PREENSAMBLADO)",VLOOKUP(CDV_PROY_MT!H42,FDV!$H$4:$K$9,IF(CDV_PROY_MT!$N$10="3F",3,4),FALSE),VLOOKUP(CDV_PROY_MT!H42,FDV!$H$25:$K$30,IF(CDV_PROY_MT!$N$10="3F",3,4),FALSE)))))</f>
        <v/>
      </c>
      <c r="K42" s="63" t="str">
        <f t="shared" si="4"/>
        <v/>
      </c>
      <c r="L42" s="62" t="str">
        <f t="shared" si="1"/>
        <v/>
      </c>
      <c r="M42" s="62" t="str">
        <f t="shared" si="5"/>
        <v/>
      </c>
      <c r="N42" s="155"/>
      <c r="U42" s="138">
        <f t="shared" si="2"/>
        <v>0</v>
      </c>
      <c r="V42" s="138">
        <f t="shared" si="3"/>
        <v>0</v>
      </c>
    </row>
    <row r="43" spans="1:22" ht="15">
      <c r="A43" s="167"/>
      <c r="B43" s="168"/>
      <c r="C43" s="286"/>
      <c r="D43" s="286"/>
      <c r="E43" s="276"/>
      <c r="F43" s="277"/>
      <c r="G43" s="59" t="str">
        <f t="shared" si="0"/>
        <v/>
      </c>
      <c r="H43" s="183"/>
      <c r="I43" s="183"/>
      <c r="J43" s="59" t="str">
        <f>IF(OR(H43="",$D$10="",$N$10=""),"",IF($D$10="COBRE",VLOOKUP(CDV_PROY_MT!H43,FDV!$H$16:$K$24,IF(CDV_PROY_MT!$N$10="3F",3,4),FALSE),IF($D$10="ACS",VLOOKUP(CDV_PROY_MT!H43,FDV!$H$10:$K$15,IF(CDV_PROY_MT!$N$10="3F",3,4),FALSE),IF($D$10="5005 (PREENSAMBLADO)",VLOOKUP(CDV_PROY_MT!H43,FDV!$H$4:$K$9,IF(CDV_PROY_MT!$N$10="3F",3,4),FALSE),VLOOKUP(CDV_PROY_MT!H43,FDV!$H$25:$K$30,IF(CDV_PROY_MT!$N$10="3F",3,4),FALSE)))))</f>
        <v/>
      </c>
      <c r="K43" s="63" t="str">
        <f t="shared" si="4"/>
        <v/>
      </c>
      <c r="L43" s="62" t="str">
        <f t="shared" si="1"/>
        <v/>
      </c>
      <c r="M43" s="62" t="str">
        <f t="shared" si="5"/>
        <v/>
      </c>
      <c r="N43" s="155"/>
      <c r="U43" s="138">
        <f t="shared" si="2"/>
        <v>0</v>
      </c>
      <c r="V43" s="138">
        <f t="shared" si="3"/>
        <v>0</v>
      </c>
    </row>
    <row r="44" spans="1:22" ht="15">
      <c r="A44" s="167"/>
      <c r="B44" s="168"/>
      <c r="C44" s="286"/>
      <c r="D44" s="286"/>
      <c r="E44" s="276"/>
      <c r="F44" s="277"/>
      <c r="G44" s="59" t="str">
        <f t="shared" si="0"/>
        <v/>
      </c>
      <c r="H44" s="183"/>
      <c r="I44" s="183"/>
      <c r="J44" s="59" t="str">
        <f>IF(OR(H44="",$D$10="",$N$10=""),"",IF($D$10="COBRE",VLOOKUP(CDV_PROY_MT!H44,FDV!$H$16:$K$24,IF(CDV_PROY_MT!$N$10="3F",3,4),FALSE),IF($D$10="ACS",VLOOKUP(CDV_PROY_MT!H44,FDV!$H$10:$K$15,IF(CDV_PROY_MT!$N$10="3F",3,4),FALSE),IF($D$10="5005 (PREENSAMBLADO)",VLOOKUP(CDV_PROY_MT!H44,FDV!$H$4:$K$9,IF(CDV_PROY_MT!$N$10="3F",3,4),FALSE),VLOOKUP(CDV_PROY_MT!H44,FDV!$H$25:$K$30,IF(CDV_PROY_MT!$N$10="3F",3,4),FALSE)))))</f>
        <v/>
      </c>
      <c r="K44" s="63" t="str">
        <f t="shared" si="4"/>
        <v/>
      </c>
      <c r="L44" s="62" t="str">
        <f t="shared" si="1"/>
        <v/>
      </c>
      <c r="M44" s="62" t="str">
        <f t="shared" si="5"/>
        <v/>
      </c>
      <c r="N44" s="155"/>
      <c r="U44" s="138">
        <f t="shared" si="2"/>
        <v>0</v>
      </c>
      <c r="V44" s="138">
        <f t="shared" si="3"/>
        <v>0</v>
      </c>
    </row>
    <row r="45" spans="1:22" ht="15">
      <c r="A45" s="167"/>
      <c r="B45" s="168"/>
      <c r="C45" s="286"/>
      <c r="D45" s="286"/>
      <c r="E45" s="276"/>
      <c r="F45" s="277"/>
      <c r="G45" s="59" t="str">
        <f t="shared" si="0"/>
        <v/>
      </c>
      <c r="H45" s="183"/>
      <c r="I45" s="183"/>
      <c r="J45" s="59" t="str">
        <f>IF(OR(H45="",$D$10="",$N$10=""),"",IF($D$10="COBRE",VLOOKUP(CDV_PROY_MT!H45,FDV!$H$16:$K$24,IF(CDV_PROY_MT!$N$10="3F",3,4),FALSE),IF($D$10="ACS",VLOOKUP(CDV_PROY_MT!H45,FDV!$H$10:$K$15,IF(CDV_PROY_MT!$N$10="3F",3,4),FALSE),IF($D$10="5005 (PREENSAMBLADO)",VLOOKUP(CDV_PROY_MT!H45,FDV!$H$4:$K$9,IF(CDV_PROY_MT!$N$10="3F",3,4),FALSE),VLOOKUP(CDV_PROY_MT!H45,FDV!$H$25:$K$30,IF(CDV_PROY_MT!$N$10="3F",3,4),FALSE)))))</f>
        <v/>
      </c>
      <c r="K45" s="63" t="str">
        <f t="shared" si="4"/>
        <v/>
      </c>
      <c r="L45" s="62" t="str">
        <f t="shared" si="1"/>
        <v/>
      </c>
      <c r="M45" s="62" t="str">
        <f t="shared" si="5"/>
        <v/>
      </c>
      <c r="N45" s="155"/>
      <c r="U45" s="138">
        <f t="shared" si="2"/>
        <v>0</v>
      </c>
      <c r="V45" s="138">
        <f t="shared" si="3"/>
        <v>0</v>
      </c>
    </row>
    <row r="46" spans="1:22" ht="15">
      <c r="A46" s="167"/>
      <c r="B46" s="168"/>
      <c r="C46" s="286"/>
      <c r="D46" s="286"/>
      <c r="E46" s="276"/>
      <c r="F46" s="277"/>
      <c r="G46" s="59" t="str">
        <f t="shared" si="0"/>
        <v/>
      </c>
      <c r="H46" s="183"/>
      <c r="I46" s="183"/>
      <c r="J46" s="59" t="str">
        <f>IF(OR(H46="",$D$10="",$N$10=""),"",IF($D$10="COBRE",VLOOKUP(CDV_PROY_MT!H46,FDV!$H$16:$K$24,IF(CDV_PROY_MT!$N$10="3F",3,4),FALSE),IF($D$10="ACS",VLOOKUP(CDV_PROY_MT!H46,FDV!$H$10:$K$15,IF(CDV_PROY_MT!$N$10="3F",3,4),FALSE),IF($D$10="5005 (PREENSAMBLADO)",VLOOKUP(CDV_PROY_MT!H46,FDV!$H$4:$K$9,IF(CDV_PROY_MT!$N$10="3F",3,4),FALSE),VLOOKUP(CDV_PROY_MT!H46,FDV!$H$25:$K$30,IF(CDV_PROY_MT!$N$10="3F",3,4),FALSE)))))</f>
        <v/>
      </c>
      <c r="K46" s="63" t="str">
        <f t="shared" si="4"/>
        <v/>
      </c>
      <c r="L46" s="62" t="str">
        <f t="shared" si="1"/>
        <v/>
      </c>
      <c r="M46" s="62" t="str">
        <f t="shared" si="5"/>
        <v/>
      </c>
      <c r="N46" s="155"/>
      <c r="U46" s="138">
        <f t="shared" si="2"/>
        <v>0</v>
      </c>
      <c r="V46" s="138">
        <f t="shared" si="3"/>
        <v>0</v>
      </c>
    </row>
    <row r="47" spans="1:22" ht="15">
      <c r="A47" s="167"/>
      <c r="B47" s="168"/>
      <c r="C47" s="286"/>
      <c r="D47" s="286"/>
      <c r="E47" s="276"/>
      <c r="F47" s="277"/>
      <c r="G47" s="59" t="str">
        <f t="shared" si="0"/>
        <v/>
      </c>
      <c r="H47" s="183"/>
      <c r="I47" s="183"/>
      <c r="J47" s="59" t="str">
        <f>IF(OR(H47="",$D$10="",$N$10=""),"",IF($D$10="COBRE",VLOOKUP(CDV_PROY_MT!H47,FDV!$H$16:$K$24,IF(CDV_PROY_MT!$N$10="3F",3,4),FALSE),IF($D$10="ACS",VLOOKUP(CDV_PROY_MT!H47,FDV!$H$10:$K$15,IF(CDV_PROY_MT!$N$10="3F",3,4),FALSE),IF($D$10="5005 (PREENSAMBLADO)",VLOOKUP(CDV_PROY_MT!H47,FDV!$H$4:$K$9,IF(CDV_PROY_MT!$N$10="3F",3,4),FALSE),VLOOKUP(CDV_PROY_MT!H47,FDV!$H$25:$K$30,IF(CDV_PROY_MT!$N$10="3F",3,4),FALSE)))))</f>
        <v/>
      </c>
      <c r="K47" s="63" t="str">
        <f t="shared" si="4"/>
        <v/>
      </c>
      <c r="L47" s="62" t="str">
        <f t="shared" si="1"/>
        <v/>
      </c>
      <c r="M47" s="62" t="str">
        <f t="shared" si="5"/>
        <v/>
      </c>
      <c r="N47" s="155"/>
      <c r="U47" s="138">
        <f t="shared" si="2"/>
        <v>0</v>
      </c>
      <c r="V47" s="138">
        <f t="shared" si="3"/>
        <v>0</v>
      </c>
    </row>
    <row r="48" spans="1:22" ht="15">
      <c r="A48" s="167"/>
      <c r="B48" s="168"/>
      <c r="C48" s="286"/>
      <c r="D48" s="286"/>
      <c r="E48" s="276"/>
      <c r="F48" s="277"/>
      <c r="G48" s="59" t="str">
        <f t="shared" si="0"/>
        <v/>
      </c>
      <c r="H48" s="183"/>
      <c r="I48" s="183"/>
      <c r="J48" s="59" t="str">
        <f>IF(OR(H48="",$D$10="",$N$10=""),"",IF($D$10="COBRE",VLOOKUP(CDV_PROY_MT!H48,FDV!$H$16:$K$24,IF(CDV_PROY_MT!$N$10="3F",3,4),FALSE),IF($D$10="ACS",VLOOKUP(CDV_PROY_MT!H48,FDV!$H$10:$K$15,IF(CDV_PROY_MT!$N$10="3F",3,4),FALSE),IF($D$10="5005 (PREENSAMBLADO)",VLOOKUP(CDV_PROY_MT!H48,FDV!$H$4:$K$9,IF(CDV_PROY_MT!$N$10="3F",3,4),FALSE),VLOOKUP(CDV_PROY_MT!H48,FDV!$H$25:$K$30,IF(CDV_PROY_MT!$N$10="3F",3,4),FALSE)))))</f>
        <v/>
      </c>
      <c r="K48" s="63" t="str">
        <f t="shared" si="4"/>
        <v/>
      </c>
      <c r="L48" s="62" t="str">
        <f t="shared" si="1"/>
        <v/>
      </c>
      <c r="M48" s="62" t="str">
        <f t="shared" si="5"/>
        <v/>
      </c>
      <c r="N48" s="156"/>
      <c r="U48" s="138">
        <f t="shared" si="2"/>
        <v>0</v>
      </c>
      <c r="V48" s="138">
        <f t="shared" si="3"/>
        <v>0</v>
      </c>
    </row>
    <row r="49" spans="1:22" ht="15.75" thickBot="1">
      <c r="A49" s="178"/>
      <c r="B49" s="179"/>
      <c r="C49" s="295"/>
      <c r="D49" s="295"/>
      <c r="E49" s="296"/>
      <c r="F49" s="297"/>
      <c r="G49" s="69" t="str">
        <f t="shared" si="0"/>
        <v/>
      </c>
      <c r="H49" s="184"/>
      <c r="I49" s="184"/>
      <c r="J49" s="69" t="str">
        <f>IF(OR(H49="",$D$10="",$N$10=""),"",IF($D$10="COBRE",VLOOKUP(CDV_PROY_MT!H49,FDV!$H$16:$K$24,IF(CDV_PROY_MT!$N$10="3F",3,4),FALSE),IF($D$10="ACS",VLOOKUP(CDV_PROY_MT!H49,FDV!$H$10:$K$15,IF(CDV_PROY_MT!$N$10="3F",3,4),FALSE),IF($D$10="5005 (PREENSAMBLADO)",VLOOKUP(CDV_PROY_MT!H49,FDV!$H$4:$K$9,IF(CDV_PROY_MT!$N$10="3F",3,4),FALSE),VLOOKUP(CDV_PROY_MT!H49,FDV!$H$25:$K$30,IF(CDV_PROY_MT!$N$10="3F",3,4),FALSE)))))</f>
        <v/>
      </c>
      <c r="K49" s="65" t="str">
        <f t="shared" si="4"/>
        <v/>
      </c>
      <c r="L49" s="64" t="str">
        <f t="shared" si="1"/>
        <v/>
      </c>
      <c r="M49" s="64" t="str">
        <f t="shared" si="5"/>
        <v/>
      </c>
      <c r="N49" s="157"/>
      <c r="U49" s="138">
        <f t="shared" si="2"/>
        <v>0</v>
      </c>
      <c r="V49" s="138">
        <f t="shared" si="3"/>
        <v>0</v>
      </c>
    </row>
    <row r="50" spans="1:22" ht="15.75" hidden="1" thickBot="1">
      <c r="A50" s="143"/>
      <c r="B50" s="67" t="str">
        <f>IF(N19="","",N19)</f>
        <v>P1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>IF(OR($N$10="",C50=""),"",IF($N$10="1F",1,3))</f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IF(OR(H50="",$D$10="",$N$10=""),"",IF($D$10="COBRE",VLOOKUP(CDV_PROY_MT!H50,FDV!$B$16:$E$24,IF(CDV_PROY_MT!$N$10="3F",3,4),FALSE),IF($D$10="ACS",VLOOKUP(CDV_PROY_MT!H50,FDV!$B$10:$E$15,IF(CDV_PROY_MT!$N$10="3F",3,4),FALSE),IF($D$10="5005 (PREENSAMBLADO)",VLOOKUP(CDV_PROY_MT!H50,FDV!$B$4:$E$9,IF(CDV_PROY_MT!$N$10="3F",3,4),FALSE),VLOOKUP(CDV_PROY_MT!H50,FDV!$B$25:$E$30,IF(CDV_PROY_MT!$N$10="3F",3,4),FALSE)))))</f>
        <v>#VALUE!</v>
      </c>
      <c r="K50" s="71" t="str">
        <f>IF(C50="","",ROUND(F50*C50,0))</f>
        <v/>
      </c>
      <c r="L50" s="68" t="str">
        <f>IF(C50="","",ROUND(K50/J50,2))</f>
        <v/>
      </c>
      <c r="M50" s="72">
        <v>0</v>
      </c>
      <c r="N50" s="66"/>
      <c r="U50" s="138">
        <f t="shared" si="2"/>
        <v>0</v>
      </c>
      <c r="V50" s="138">
        <f t="shared" si="3"/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40"/>
      <c r="U51" s="138">
        <f>+IF(D51&gt;0,C51,0)</f>
        <v>0</v>
      </c>
      <c r="V51" s="138">
        <f>IF(C51="",0,C51*G51)</f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126</v>
      </c>
      <c r="K52" s="147"/>
      <c r="L52" s="91"/>
      <c r="M52" s="92"/>
      <c r="N52" s="241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41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126</v>
      </c>
      <c r="L54" s="91"/>
      <c r="M54" s="92"/>
      <c r="N54" s="241"/>
    </row>
    <row r="55" spans="1:14" ht="15.75" thickBot="1">
      <c r="A55" s="244" t="s">
        <v>123</v>
      </c>
      <c r="B55" s="244"/>
      <c r="C55" s="244"/>
      <c r="D55" s="21">
        <f>IF(N10="","",SUM(C23:C49))</f>
        <v>124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9"/>
      <c r="N56" s="84" t="s">
        <v>61</v>
      </c>
    </row>
    <row r="57" spans="1:14" ht="15.75" thickBot="1">
      <c r="A57" s="148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3"/>
      <c r="N57" s="85">
        <f>MAX(N23:N49)</f>
        <v>0.01</v>
      </c>
    </row>
    <row r="59" ht="15.75" hidden="1" thickBot="1"/>
    <row r="60" spans="1:14" ht="15.75" hidden="1" thickBot="1">
      <c r="A60" s="18"/>
      <c r="B60" s="18"/>
      <c r="C60" s="19"/>
      <c r="D60" s="19"/>
      <c r="E60" s="19"/>
      <c r="F60" s="20"/>
      <c r="G60" s="18"/>
      <c r="H60" s="18"/>
      <c r="I60" s="18"/>
      <c r="J60" s="19"/>
      <c r="K60" s="18"/>
      <c r="L60" s="18"/>
      <c r="M60" s="131" t="s">
        <v>122</v>
      </c>
      <c r="N60" s="161" t="s">
        <v>217</v>
      </c>
    </row>
    <row r="61" spans="1:14" ht="18" hidden="1">
      <c r="A61" s="245" t="s">
        <v>62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</row>
    <row r="62" spans="1:14" ht="18" hidden="1">
      <c r="A62" s="199"/>
      <c r="B62" s="199"/>
      <c r="C62" s="199"/>
      <c r="D62" s="199"/>
      <c r="E62" s="199"/>
      <c r="F62" s="22" t="s">
        <v>111</v>
      </c>
      <c r="G62" s="199"/>
      <c r="H62" s="199"/>
      <c r="I62" s="199"/>
      <c r="J62" s="199"/>
      <c r="K62" s="199"/>
      <c r="L62" s="199"/>
      <c r="M62" s="199"/>
      <c r="N62" s="87"/>
    </row>
    <row r="63" spans="1:31" ht="15.75" hidden="1">
      <c r="A63" s="246" t="s">
        <v>183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U63" s="138" t="s">
        <v>63</v>
      </c>
      <c r="W63" s="138" t="s">
        <v>24</v>
      </c>
      <c r="Y63" s="138" t="s">
        <v>69</v>
      </c>
      <c r="AA63" s="138" t="s">
        <v>72</v>
      </c>
      <c r="AB63" s="138" t="s">
        <v>77</v>
      </c>
      <c r="AC63" s="138" t="s">
        <v>79</v>
      </c>
      <c r="AD63" s="138" t="s">
        <v>170</v>
      </c>
      <c r="AE63" s="138" t="s">
        <v>176</v>
      </c>
    </row>
    <row r="64" spans="1:31" ht="16.5" hidden="1" thickBot="1">
      <c r="A64" s="24"/>
      <c r="B64" s="18"/>
      <c r="C64" s="19"/>
      <c r="D64" s="19"/>
      <c r="E64" s="19"/>
      <c r="F64" s="20"/>
      <c r="G64" s="20"/>
      <c r="H64" s="18"/>
      <c r="I64" s="18"/>
      <c r="J64" s="18"/>
      <c r="K64" s="19"/>
      <c r="L64" s="18"/>
      <c r="M64" s="18"/>
      <c r="N64" s="23"/>
      <c r="U64" s="138" t="s">
        <v>64</v>
      </c>
      <c r="W64" s="138" t="s">
        <v>82</v>
      </c>
      <c r="Y64" s="138" t="s">
        <v>70</v>
      </c>
      <c r="AA64" s="138" t="s">
        <v>73</v>
      </c>
      <c r="AB64" s="138" t="s">
        <v>29</v>
      </c>
      <c r="AC64" s="139">
        <v>2</v>
      </c>
      <c r="AD64" s="138" t="s">
        <v>171</v>
      </c>
      <c r="AE64" s="138">
        <v>0.65</v>
      </c>
    </row>
    <row r="65" spans="1:31" ht="15.75" hidden="1" thickBot="1">
      <c r="A65" s="25" t="s">
        <v>23</v>
      </c>
      <c r="B65" s="26"/>
      <c r="C65" s="88"/>
      <c r="D65" s="259" t="s">
        <v>64</v>
      </c>
      <c r="E65" s="260"/>
      <c r="F65" s="278" t="s">
        <v>189</v>
      </c>
      <c r="G65" s="279"/>
      <c r="H65" s="263" t="str">
        <f>+H6</f>
        <v>Puerto Villamil</v>
      </c>
      <c r="I65" s="264"/>
      <c r="J65" s="265"/>
      <c r="K65" s="268" t="s">
        <v>81</v>
      </c>
      <c r="L65" s="269"/>
      <c r="M65" s="261" t="str">
        <f>+M6</f>
        <v>Pedregal V</v>
      </c>
      <c r="N65" s="262"/>
      <c r="Q65" s="198"/>
      <c r="R65" s="198"/>
      <c r="U65" s="138" t="s">
        <v>65</v>
      </c>
      <c r="W65" s="138" t="s">
        <v>83</v>
      </c>
      <c r="Y65" s="138" t="s">
        <v>7</v>
      </c>
      <c r="AA65" s="138" t="s">
        <v>76</v>
      </c>
      <c r="AB65" s="138" t="s">
        <v>78</v>
      </c>
      <c r="AC65" s="139" t="s">
        <v>0</v>
      </c>
      <c r="AD65" s="138" t="s">
        <v>172</v>
      </c>
      <c r="AE65" s="138">
        <v>0.7</v>
      </c>
    </row>
    <row r="66" spans="1:31" ht="15.75" hidden="1" thickBot="1">
      <c r="A66" s="21"/>
      <c r="B66" s="21"/>
      <c r="C66" s="21"/>
      <c r="D66" s="21"/>
      <c r="E66" s="21"/>
      <c r="F66" s="28"/>
      <c r="G66" s="28"/>
      <c r="H66" s="21"/>
      <c r="I66" s="21"/>
      <c r="J66" s="21"/>
      <c r="K66" s="21"/>
      <c r="L66" s="21"/>
      <c r="M66" s="21"/>
      <c r="N66" s="23"/>
      <c r="U66" s="138" t="s">
        <v>66</v>
      </c>
      <c r="W66" s="138" t="s">
        <v>68</v>
      </c>
      <c r="Y66" s="138" t="s">
        <v>27</v>
      </c>
      <c r="AA66" s="138" t="s">
        <v>74</v>
      </c>
      <c r="AC66" s="139" t="s">
        <v>1</v>
      </c>
      <c r="AD66" s="138" t="s">
        <v>173</v>
      </c>
      <c r="AE66" s="138">
        <v>0.8</v>
      </c>
    </row>
    <row r="67" spans="1:31" ht="15.75" hidden="1" thickBot="1">
      <c r="A67" s="25" t="s">
        <v>24</v>
      </c>
      <c r="B67" s="26"/>
      <c r="C67" s="26"/>
      <c r="D67" s="259" t="s">
        <v>68</v>
      </c>
      <c r="E67" s="258"/>
      <c r="F67" s="260"/>
      <c r="G67" s="25"/>
      <c r="H67" s="29"/>
      <c r="I67" s="29"/>
      <c r="J67" s="26"/>
      <c r="K67" s="26"/>
      <c r="L67" s="26"/>
      <c r="M67" s="26"/>
      <c r="N67" s="212"/>
      <c r="U67" s="138" t="s">
        <v>67</v>
      </c>
      <c r="Y67" s="138" t="s">
        <v>9</v>
      </c>
      <c r="AA67" s="138" t="s">
        <v>75</v>
      </c>
      <c r="AC67" s="139" t="s">
        <v>2</v>
      </c>
      <c r="AE67" s="138">
        <v>0.9</v>
      </c>
    </row>
    <row r="68" spans="1:31" ht="15.75" hidden="1" thickBot="1">
      <c r="A68" s="23" t="s">
        <v>25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08"/>
      <c r="M68" s="23"/>
      <c r="N68" s="213"/>
      <c r="AC68" s="141" t="s">
        <v>3</v>
      </c>
      <c r="AE68" s="138">
        <v>1</v>
      </c>
    </row>
    <row r="69" spans="1:24" ht="15.75" hidden="1" thickBot="1">
      <c r="A69" s="30" t="s">
        <v>26</v>
      </c>
      <c r="B69" s="18"/>
      <c r="C69" s="23"/>
      <c r="D69" s="253" t="s">
        <v>9</v>
      </c>
      <c r="E69" s="294"/>
      <c r="F69" s="294"/>
      <c r="G69" s="254"/>
      <c r="H69" s="18"/>
      <c r="I69" s="18"/>
      <c r="J69" s="18"/>
      <c r="K69" s="23"/>
      <c r="L69" s="223" t="s">
        <v>185</v>
      </c>
      <c r="M69" s="18"/>
      <c r="N69" s="162" t="s">
        <v>78</v>
      </c>
      <c r="U69" s="138" t="s">
        <v>64</v>
      </c>
      <c r="W69" s="138" t="s">
        <v>29</v>
      </c>
      <c r="X69" s="138" t="s">
        <v>78</v>
      </c>
    </row>
    <row r="70" spans="1:24" ht="15.75" hidden="1" thickBot="1">
      <c r="A70" s="23"/>
      <c r="B70" s="31"/>
      <c r="C70" s="23"/>
      <c r="D70" s="19"/>
      <c r="E70" s="32"/>
      <c r="F70" s="32"/>
      <c r="G70" s="20"/>
      <c r="H70" s="20"/>
      <c r="I70" s="20"/>
      <c r="J70" s="33"/>
      <c r="K70" s="25" t="s">
        <v>182</v>
      </c>
      <c r="L70" s="29"/>
      <c r="M70" s="220"/>
      <c r="N70" s="209" t="str">
        <f>IF(N69="","",IF(N69="3F","13.8 KV","7.6 kV"))</f>
        <v>13.8 KV</v>
      </c>
      <c r="U70" s="138" t="s">
        <v>84</v>
      </c>
      <c r="W70" s="138">
        <v>10</v>
      </c>
      <c r="X70" s="138">
        <v>30</v>
      </c>
    </row>
    <row r="71" spans="1:24" ht="15.75" hidden="1" thickBot="1">
      <c r="A71" s="36" t="s">
        <v>184</v>
      </c>
      <c r="B71" s="37"/>
      <c r="C71" s="37"/>
      <c r="D71" s="150">
        <v>8</v>
      </c>
      <c r="E71" s="38"/>
      <c r="F71" s="39"/>
      <c r="G71" s="39"/>
      <c r="H71" s="39"/>
      <c r="I71" s="39"/>
      <c r="J71" s="37"/>
      <c r="K71" s="25" t="s">
        <v>186</v>
      </c>
      <c r="L71" s="26"/>
      <c r="M71" s="221"/>
      <c r="N71" s="222">
        <v>575</v>
      </c>
      <c r="U71" s="138" t="s">
        <v>85</v>
      </c>
      <c r="W71" s="138">
        <v>15</v>
      </c>
      <c r="X71" s="138">
        <v>50</v>
      </c>
    </row>
    <row r="72" spans="1:24" ht="15.75" hidden="1" thickBot="1">
      <c r="A72" s="41" t="s">
        <v>31</v>
      </c>
      <c r="B72" s="21"/>
      <c r="C72" s="21"/>
      <c r="D72" s="150">
        <v>120</v>
      </c>
      <c r="E72" s="21"/>
      <c r="F72" s="28"/>
      <c r="G72" s="42" t="s">
        <v>32</v>
      </c>
      <c r="H72" s="274" t="str">
        <f>+H13</f>
        <v>J.P</v>
      </c>
      <c r="I72" s="275"/>
      <c r="J72" s="275"/>
      <c r="K72" s="216"/>
      <c r="L72" s="21"/>
      <c r="M72" s="214"/>
      <c r="N72" s="217"/>
      <c r="U72" s="138" t="s">
        <v>86</v>
      </c>
      <c r="W72" s="138">
        <v>25</v>
      </c>
      <c r="X72" s="138">
        <v>75</v>
      </c>
    </row>
    <row r="73" spans="1:24" ht="15.75" hidden="1" thickBot="1">
      <c r="A73" s="41" t="s">
        <v>34</v>
      </c>
      <c r="B73" s="21"/>
      <c r="C73" s="21"/>
      <c r="D73" s="162">
        <v>4510</v>
      </c>
      <c r="E73" s="41"/>
      <c r="F73" s="28"/>
      <c r="G73" s="42" t="s">
        <v>35</v>
      </c>
      <c r="H73" s="249">
        <f>+H14</f>
        <v>43598</v>
      </c>
      <c r="I73" s="250"/>
      <c r="J73" s="250"/>
      <c r="K73" s="41"/>
      <c r="L73" s="21"/>
      <c r="M73" s="214"/>
      <c r="N73" s="218"/>
      <c r="U73" s="138" t="s">
        <v>87</v>
      </c>
      <c r="W73" s="138">
        <v>37.5</v>
      </c>
      <c r="X73" s="138">
        <v>100</v>
      </c>
    </row>
    <row r="74" spans="1:24" ht="15.75" hidden="1" thickBot="1">
      <c r="A74" s="270"/>
      <c r="B74" s="271"/>
      <c r="C74" s="271"/>
      <c r="D74" s="271"/>
      <c r="E74" s="271"/>
      <c r="F74" s="271"/>
      <c r="G74" s="271"/>
      <c r="H74" s="271"/>
      <c r="I74" s="271"/>
      <c r="J74" s="271"/>
      <c r="K74" s="44"/>
      <c r="L74" s="34"/>
      <c r="M74" s="215" t="str">
        <f>+IF(OR(N69="",D71="",D72=""),"","POT. NOMINAL TRAFO. (KVA):")</f>
        <v>POT. NOMINAL TRAFO. (KVA):</v>
      </c>
      <c r="N74" s="219"/>
      <c r="U74" s="138" t="s">
        <v>88</v>
      </c>
      <c r="W74" s="138">
        <v>50</v>
      </c>
      <c r="X74" s="138">
        <v>125</v>
      </c>
    </row>
    <row r="75" spans="1:24" ht="15.75" hidden="1" thickBot="1">
      <c r="A75" s="21"/>
      <c r="B75" s="21"/>
      <c r="C75" s="21"/>
      <c r="D75" s="21"/>
      <c r="E75" s="21"/>
      <c r="F75" s="28"/>
      <c r="G75" s="28"/>
      <c r="H75" s="21"/>
      <c r="I75" s="21"/>
      <c r="J75" s="21"/>
      <c r="K75" s="21"/>
      <c r="L75" s="21"/>
      <c r="M75" s="21"/>
      <c r="N75" s="23"/>
      <c r="U75" s="138" t="s">
        <v>89</v>
      </c>
      <c r="W75" s="138">
        <v>75</v>
      </c>
      <c r="X75" s="138">
        <v>150</v>
      </c>
    </row>
    <row r="76" spans="1:24" ht="19.5" hidden="1" thickBot="1">
      <c r="A76" s="46" t="s">
        <v>36</v>
      </c>
      <c r="B76" s="47"/>
      <c r="C76" s="47"/>
      <c r="D76" s="48" t="s">
        <v>37</v>
      </c>
      <c r="E76" s="49"/>
      <c r="F76" s="50"/>
      <c r="G76" s="50"/>
      <c r="H76" s="37"/>
      <c r="I76" s="37"/>
      <c r="J76" s="37"/>
      <c r="K76" s="37"/>
      <c r="L76" s="37"/>
      <c r="M76" s="37"/>
      <c r="N76" s="40"/>
      <c r="U76" s="138" t="s">
        <v>90</v>
      </c>
      <c r="W76" s="138">
        <v>100</v>
      </c>
      <c r="X76" s="138">
        <v>200</v>
      </c>
    </row>
    <row r="77" spans="1:23" ht="15.75" hidden="1" thickBot="1">
      <c r="A77" s="41"/>
      <c r="B77" s="21"/>
      <c r="C77" s="21"/>
      <c r="D77" s="21"/>
      <c r="E77" s="21"/>
      <c r="F77" s="28"/>
      <c r="G77" s="28"/>
      <c r="H77" s="21"/>
      <c r="I77" s="21"/>
      <c r="J77" s="21"/>
      <c r="K77" s="21" t="s">
        <v>190</v>
      </c>
      <c r="L77" s="21"/>
      <c r="M77" s="21"/>
      <c r="N77" s="163">
        <v>0.02</v>
      </c>
      <c r="U77" s="138" t="s">
        <v>91</v>
      </c>
      <c r="W77" s="138">
        <v>112.5</v>
      </c>
    </row>
    <row r="78" spans="1:23" ht="15.75" hidden="1" thickBot="1">
      <c r="A78" s="44"/>
      <c r="B78" s="34"/>
      <c r="C78" s="34"/>
      <c r="D78" s="34"/>
      <c r="E78" s="34"/>
      <c r="F78" s="45"/>
      <c r="G78" s="45"/>
      <c r="H78" s="34"/>
      <c r="I78" s="34"/>
      <c r="J78" s="34"/>
      <c r="K78" s="34"/>
      <c r="L78" s="113" t="s">
        <v>188</v>
      </c>
      <c r="M78" s="142"/>
      <c r="N78" s="163" t="s">
        <v>150</v>
      </c>
      <c r="S78" s="139"/>
      <c r="W78" s="138">
        <v>125</v>
      </c>
    </row>
    <row r="79" spans="1:14" ht="15.75" hidden="1" thickBot="1">
      <c r="A79" s="21"/>
      <c r="B79" s="21"/>
      <c r="C79" s="21"/>
      <c r="D79" s="21"/>
      <c r="E79" s="21"/>
      <c r="F79" s="28"/>
      <c r="G79" s="28"/>
      <c r="H79" s="21"/>
      <c r="I79" s="21"/>
      <c r="J79" s="21"/>
      <c r="K79" s="21"/>
      <c r="L79" s="21"/>
      <c r="M79" s="21"/>
      <c r="N79" s="23"/>
    </row>
    <row r="80" spans="1:22" ht="15.75" hidden="1" thickBot="1">
      <c r="A80" s="257" t="s">
        <v>38</v>
      </c>
      <c r="B80" s="252"/>
      <c r="C80" s="287" t="s">
        <v>39</v>
      </c>
      <c r="D80" s="288"/>
      <c r="E80" s="292" t="s">
        <v>42</v>
      </c>
      <c r="F80" s="293"/>
      <c r="G80" s="257" t="s">
        <v>43</v>
      </c>
      <c r="H80" s="251"/>
      <c r="I80" s="251"/>
      <c r="J80" s="252"/>
      <c r="K80" s="255" t="s">
        <v>195</v>
      </c>
      <c r="L80" s="251" t="s">
        <v>45</v>
      </c>
      <c r="M80" s="251"/>
      <c r="N80" s="252"/>
      <c r="U80" s="237" t="s">
        <v>98</v>
      </c>
      <c r="V80" s="237" t="s">
        <v>99</v>
      </c>
    </row>
    <row r="81" spans="1:22" ht="15.75" hidden="1" thickBot="1">
      <c r="A81" s="52" t="s">
        <v>46</v>
      </c>
      <c r="B81" s="52" t="s">
        <v>47</v>
      </c>
      <c r="C81" s="289" t="s">
        <v>48</v>
      </c>
      <c r="D81" s="290"/>
      <c r="E81" s="289" t="s">
        <v>187</v>
      </c>
      <c r="F81" s="290"/>
      <c r="G81" s="56" t="s">
        <v>52</v>
      </c>
      <c r="H81" s="43" t="s">
        <v>105</v>
      </c>
      <c r="I81" s="124" t="s">
        <v>106</v>
      </c>
      <c r="J81" s="43" t="s">
        <v>53</v>
      </c>
      <c r="K81" s="256"/>
      <c r="L81" s="53" t="s">
        <v>54</v>
      </c>
      <c r="M81" s="43" t="s">
        <v>55</v>
      </c>
      <c r="N81" s="57" t="s">
        <v>56</v>
      </c>
      <c r="U81" s="237"/>
      <c r="V81" s="237"/>
    </row>
    <row r="82" spans="1:22" ht="15" hidden="1">
      <c r="A82" s="191" t="s">
        <v>150</v>
      </c>
      <c r="B82" s="164" t="s">
        <v>149</v>
      </c>
      <c r="C82" s="291">
        <v>30</v>
      </c>
      <c r="D82" s="291"/>
      <c r="E82" s="280">
        <v>100</v>
      </c>
      <c r="F82" s="281"/>
      <c r="G82" s="95">
        <f aca="true" t="shared" si="6" ref="G82:G107">IF(OR($N$10="",C82=""),"",IF($N$10="1F",1,3))</f>
        <v>1</v>
      </c>
      <c r="H82" s="182">
        <v>2</v>
      </c>
      <c r="I82" s="182">
        <v>2</v>
      </c>
      <c r="J82" s="95">
        <f>IF(OR(H82="",$D$69="",$N$69=""),"",IF($D$69="COBRE",VLOOKUP(CDV_PROY_MT!H82,FDV!$H$16:$K$24,IF(CDV_PROY_MT!$N$69="3F",3,4),FALSE),IF($D$69="ACS",VLOOKUP(CDV_PROY_MT!H82,FDV!$H$10:$K$15,IF(CDV_PROY_MT!$N$69="3F",3,4),FALSE),IF($D$69="5005 (PREENSAMBLADO)",VLOOKUP(CDV_PROY_MT!H82,FDV!$H$4:$K$9,IF(CDV_PROY_MT!$N$69="3F",3,4),FALSE),VLOOKUP(CDV_PROY_MT!H82,FDV!$H$25:$K$30,IF(CDV_PROY_MT!$N$69="3F",3,4),FALSE)))))</f>
        <v>1720</v>
      </c>
      <c r="K82" s="60">
        <f>IF(C82="","",ROUND(E82*C82/1000,0))</f>
        <v>3</v>
      </c>
      <c r="L82" s="61">
        <f aca="true" t="shared" si="7" ref="L82:L107">IF($N$19="","",IF(C82="","",ROUND(K82/J82,2)))</f>
        <v>0</v>
      </c>
      <c r="M82" s="61">
        <f>IF(C82="","",VLOOKUP(A82,$B$82:$N$109,12,FALSE)+L82+N77)</f>
        <v>0.02</v>
      </c>
      <c r="N82" s="154"/>
      <c r="U82" s="138">
        <f aca="true" t="shared" si="8" ref="U82:U109">+IF(C82="",0,C82)</f>
        <v>30</v>
      </c>
      <c r="V82" s="138">
        <f aca="true" t="shared" si="9" ref="V82:V108">IF(OR(C82="",G82=""),0,C82*G82)</f>
        <v>30</v>
      </c>
    </row>
    <row r="83" spans="1:22" ht="15" hidden="1">
      <c r="A83" s="167" t="s">
        <v>149</v>
      </c>
      <c r="B83" s="168" t="s">
        <v>151</v>
      </c>
      <c r="C83" s="286">
        <v>30</v>
      </c>
      <c r="D83" s="286"/>
      <c r="E83" s="276">
        <v>100</v>
      </c>
      <c r="F83" s="277"/>
      <c r="G83" s="59">
        <f t="shared" si="6"/>
        <v>1</v>
      </c>
      <c r="H83" s="183">
        <v>2</v>
      </c>
      <c r="I83" s="183">
        <v>2</v>
      </c>
      <c r="J83" s="59">
        <f>IF(OR(H83="",$D$69="",$N$69=""),"",IF($D$69="COBRE",VLOOKUP(CDV_PROY_MT!H83,FDV!$H$16:$K$24,IF(CDV_PROY_MT!$N$69="3F",3,4),FALSE),IF($D$69="ACS",VLOOKUP(CDV_PROY_MT!H83,FDV!$H$10:$K$15,IF(CDV_PROY_MT!$N$69="3F",3,4),FALSE),IF($D$69="5005 (PREENSAMBLADO)",VLOOKUP(CDV_PROY_MT!H83,FDV!$H$4:$K$9,IF(CDV_PROY_MT!$N$69="3F",3,4),FALSE),VLOOKUP(CDV_PROY_MT!H83,FDV!$H$25:$K$30,IF(CDV_PROY_MT!$N$69="3F",3,4),FALSE)))))</f>
        <v>1720</v>
      </c>
      <c r="K83" s="63">
        <f aca="true" t="shared" si="10" ref="K83:K108">IF(C83="","",ROUND(E83*C83/1000,0))</f>
        <v>3</v>
      </c>
      <c r="L83" s="62">
        <f t="shared" si="7"/>
        <v>0</v>
      </c>
      <c r="M83" s="62">
        <f aca="true" t="shared" si="11" ref="M83:M108">IF(C83="","",VLOOKUP(A83,$B$82:$N$109,12,FALSE)+L83)</f>
        <v>0.02</v>
      </c>
      <c r="N83" s="155"/>
      <c r="U83" s="138">
        <f t="shared" si="8"/>
        <v>30</v>
      </c>
      <c r="V83" s="138">
        <f t="shared" si="9"/>
        <v>30</v>
      </c>
    </row>
    <row r="84" spans="1:22" ht="15" hidden="1">
      <c r="A84" s="167" t="s">
        <v>151</v>
      </c>
      <c r="B84" s="168" t="s">
        <v>152</v>
      </c>
      <c r="C84" s="286">
        <v>30</v>
      </c>
      <c r="D84" s="286"/>
      <c r="E84" s="276">
        <v>50</v>
      </c>
      <c r="F84" s="277"/>
      <c r="G84" s="59">
        <f t="shared" si="6"/>
        <v>1</v>
      </c>
      <c r="H84" s="183">
        <v>2</v>
      </c>
      <c r="I84" s="183">
        <v>2</v>
      </c>
      <c r="J84" s="59">
        <f>IF(OR(H84="",$D$69="",$N$69=""),"",IF($D$69="COBRE",VLOOKUP(CDV_PROY_MT!H84,FDV!$H$16:$K$24,IF(CDV_PROY_MT!$N$69="3F",3,4),FALSE),IF($D$69="ACS",VLOOKUP(CDV_PROY_MT!H84,FDV!$H$10:$K$15,IF(CDV_PROY_MT!$N$69="3F",3,4),FALSE),IF($D$69="5005 (PREENSAMBLADO)",VLOOKUP(CDV_PROY_MT!H84,FDV!$H$4:$K$9,IF(CDV_PROY_MT!$N$69="3F",3,4),FALSE),VLOOKUP(CDV_PROY_MT!H84,FDV!$H$25:$K$30,IF(CDV_PROY_MT!$N$69="3F",3,4),FALSE)))))</f>
        <v>1720</v>
      </c>
      <c r="K84" s="63">
        <f t="shared" si="10"/>
        <v>2</v>
      </c>
      <c r="L84" s="62">
        <f t="shared" si="7"/>
        <v>0</v>
      </c>
      <c r="M84" s="62">
        <f t="shared" si="11"/>
        <v>0.02</v>
      </c>
      <c r="N84" s="155"/>
      <c r="U84" s="138">
        <f t="shared" si="8"/>
        <v>30</v>
      </c>
      <c r="V84" s="138">
        <f t="shared" si="9"/>
        <v>30</v>
      </c>
    </row>
    <row r="85" spans="1:22" ht="15" hidden="1">
      <c r="A85" s="167" t="s">
        <v>152</v>
      </c>
      <c r="B85" s="168" t="s">
        <v>163</v>
      </c>
      <c r="C85" s="286">
        <v>32</v>
      </c>
      <c r="D85" s="286"/>
      <c r="E85" s="276">
        <v>50</v>
      </c>
      <c r="F85" s="277"/>
      <c r="G85" s="59">
        <f t="shared" si="6"/>
        <v>1</v>
      </c>
      <c r="H85" s="183">
        <v>2</v>
      </c>
      <c r="I85" s="183">
        <v>2</v>
      </c>
      <c r="J85" s="59">
        <f>IF(OR(H85="",$D$69="",$N$69=""),"",IF($D$69="COBRE",VLOOKUP(CDV_PROY_MT!H85,FDV!$H$16:$K$24,IF(CDV_PROY_MT!$N$69="3F",3,4),FALSE),IF($D$69="ACS",VLOOKUP(CDV_PROY_MT!H85,FDV!$H$10:$K$15,IF(CDV_PROY_MT!$N$69="3F",3,4),FALSE),IF($D$69="5005 (PREENSAMBLADO)",VLOOKUP(CDV_PROY_MT!H85,FDV!$H$4:$K$9,IF(CDV_PROY_MT!$N$69="3F",3,4),FALSE),VLOOKUP(CDV_PROY_MT!H85,FDV!$H$25:$K$30,IF(CDV_PROY_MT!$N$69="3F",3,4),FALSE)))))</f>
        <v>1720</v>
      </c>
      <c r="K85" s="63">
        <f t="shared" si="10"/>
        <v>2</v>
      </c>
      <c r="L85" s="62">
        <f t="shared" si="7"/>
        <v>0</v>
      </c>
      <c r="M85" s="62">
        <f t="shared" si="11"/>
        <v>0.02</v>
      </c>
      <c r="N85" s="155"/>
      <c r="U85" s="138">
        <f t="shared" si="8"/>
        <v>32</v>
      </c>
      <c r="V85" s="138">
        <f t="shared" si="9"/>
        <v>32</v>
      </c>
    </row>
    <row r="86" spans="1:22" ht="15" hidden="1">
      <c r="A86" s="167" t="s">
        <v>163</v>
      </c>
      <c r="B86" s="168" t="s">
        <v>162</v>
      </c>
      <c r="C86" s="286">
        <v>31</v>
      </c>
      <c r="D86" s="286"/>
      <c r="E86" s="276">
        <v>50</v>
      </c>
      <c r="F86" s="277"/>
      <c r="G86" s="59">
        <f t="shared" si="6"/>
        <v>1</v>
      </c>
      <c r="H86" s="183">
        <v>2</v>
      </c>
      <c r="I86" s="183">
        <v>2</v>
      </c>
      <c r="J86" s="59">
        <f>IF(OR(H86="",$D$69="",$N$69=""),"",IF($D$69="COBRE",VLOOKUP(CDV_PROY_MT!H86,FDV!$H$16:$K$24,IF(CDV_PROY_MT!$N$69="3F",3,4),FALSE),IF($D$69="ACS",VLOOKUP(CDV_PROY_MT!H86,FDV!$H$10:$K$15,IF(CDV_PROY_MT!$N$69="3F",3,4),FALSE),IF($D$69="5005 (PREENSAMBLADO)",VLOOKUP(CDV_PROY_MT!H86,FDV!$H$4:$K$9,IF(CDV_PROY_MT!$N$69="3F",3,4),FALSE),VLOOKUP(CDV_PROY_MT!H86,FDV!$H$25:$K$30,IF(CDV_PROY_MT!$N$69="3F",3,4),FALSE)))))</f>
        <v>1720</v>
      </c>
      <c r="K86" s="63">
        <f t="shared" si="10"/>
        <v>2</v>
      </c>
      <c r="L86" s="62">
        <f t="shared" si="7"/>
        <v>0</v>
      </c>
      <c r="M86" s="62">
        <f t="shared" si="11"/>
        <v>0.02</v>
      </c>
      <c r="N86" s="155"/>
      <c r="U86" s="138">
        <f t="shared" si="8"/>
        <v>31</v>
      </c>
      <c r="V86" s="138">
        <f t="shared" si="9"/>
        <v>31</v>
      </c>
    </row>
    <row r="87" spans="1:22" ht="15" hidden="1">
      <c r="A87" s="167" t="s">
        <v>162</v>
      </c>
      <c r="B87" s="168" t="s">
        <v>159</v>
      </c>
      <c r="C87" s="286">
        <v>31</v>
      </c>
      <c r="D87" s="286"/>
      <c r="E87" s="276">
        <v>50</v>
      </c>
      <c r="F87" s="277"/>
      <c r="G87" s="59">
        <f t="shared" si="6"/>
        <v>1</v>
      </c>
      <c r="H87" s="183">
        <v>2</v>
      </c>
      <c r="I87" s="183">
        <v>2</v>
      </c>
      <c r="J87" s="59">
        <f>IF(OR(H87="",$D$69="",$N$69=""),"",IF($D$69="COBRE",VLOOKUP(CDV_PROY_MT!H87,FDV!$H$16:$K$24,IF(CDV_PROY_MT!$N$69="3F",3,4),FALSE),IF($D$69="ACS",VLOOKUP(CDV_PROY_MT!H87,FDV!$H$10:$K$15,IF(CDV_PROY_MT!$N$69="3F",3,4),FALSE),IF($D$69="5005 (PREENSAMBLADO)",VLOOKUP(CDV_PROY_MT!H87,FDV!$H$4:$K$9,IF(CDV_PROY_MT!$N$69="3F",3,4),FALSE),VLOOKUP(CDV_PROY_MT!H87,FDV!$H$25:$K$30,IF(CDV_PROY_MT!$N$69="3F",3,4),FALSE)))))</f>
        <v>1720</v>
      </c>
      <c r="K87" s="63">
        <f t="shared" si="10"/>
        <v>2</v>
      </c>
      <c r="L87" s="62">
        <f t="shared" si="7"/>
        <v>0</v>
      </c>
      <c r="M87" s="62">
        <f t="shared" si="11"/>
        <v>0.02</v>
      </c>
      <c r="N87" s="155"/>
      <c r="U87" s="138">
        <f t="shared" si="8"/>
        <v>31</v>
      </c>
      <c r="V87" s="138">
        <f t="shared" si="9"/>
        <v>31</v>
      </c>
    </row>
    <row r="88" spans="1:22" ht="15" hidden="1">
      <c r="A88" s="167" t="s">
        <v>159</v>
      </c>
      <c r="B88" s="168" t="s">
        <v>160</v>
      </c>
      <c r="C88" s="286">
        <v>31</v>
      </c>
      <c r="D88" s="286"/>
      <c r="E88" s="276">
        <v>50</v>
      </c>
      <c r="F88" s="277"/>
      <c r="G88" s="59">
        <f t="shared" si="6"/>
        <v>1</v>
      </c>
      <c r="H88" s="183">
        <v>2</v>
      </c>
      <c r="I88" s="183">
        <v>2</v>
      </c>
      <c r="J88" s="59">
        <f>IF(OR(H88="",$D$69="",$N$69=""),"",IF($D$69="COBRE",VLOOKUP(CDV_PROY_MT!H88,FDV!$H$16:$K$24,IF(CDV_PROY_MT!$N$69="3F",3,4),FALSE),IF($D$69="ACS",VLOOKUP(CDV_PROY_MT!H88,FDV!$H$10:$K$15,IF(CDV_PROY_MT!$N$69="3F",3,4),FALSE),IF($D$69="5005 (PREENSAMBLADO)",VLOOKUP(CDV_PROY_MT!H88,FDV!$H$4:$K$9,IF(CDV_PROY_MT!$N$69="3F",3,4),FALSE),VLOOKUP(CDV_PROY_MT!H88,FDV!$H$25:$K$30,IF(CDV_PROY_MT!$N$69="3F",3,4),FALSE)))))</f>
        <v>1720</v>
      </c>
      <c r="K88" s="63">
        <f t="shared" si="10"/>
        <v>2</v>
      </c>
      <c r="L88" s="62">
        <f t="shared" si="7"/>
        <v>0</v>
      </c>
      <c r="M88" s="62">
        <f t="shared" si="11"/>
        <v>0.02</v>
      </c>
      <c r="N88" s="155"/>
      <c r="U88" s="138">
        <f t="shared" si="8"/>
        <v>31</v>
      </c>
      <c r="V88" s="138">
        <f t="shared" si="9"/>
        <v>31</v>
      </c>
    </row>
    <row r="89" spans="1:22" ht="15" hidden="1">
      <c r="A89" s="167" t="s">
        <v>160</v>
      </c>
      <c r="B89" s="168" t="s">
        <v>161</v>
      </c>
      <c r="C89" s="286">
        <v>31</v>
      </c>
      <c r="D89" s="286"/>
      <c r="E89" s="276">
        <v>0</v>
      </c>
      <c r="F89" s="277"/>
      <c r="G89" s="59">
        <f t="shared" si="6"/>
        <v>1</v>
      </c>
      <c r="H89" s="183">
        <v>2</v>
      </c>
      <c r="I89" s="183">
        <v>2</v>
      </c>
      <c r="J89" s="59">
        <f>IF(OR(H89="",$D$69="",$N$69=""),"",IF($D$69="COBRE",VLOOKUP(CDV_PROY_MT!H89,FDV!$H$16:$K$24,IF(CDV_PROY_MT!$N$69="3F",3,4),FALSE),IF($D$69="ACS",VLOOKUP(CDV_PROY_MT!H89,FDV!$H$10:$K$15,IF(CDV_PROY_MT!$N$69="3F",3,4),FALSE),IF($D$69="5005 (PREENSAMBLADO)",VLOOKUP(CDV_PROY_MT!H89,FDV!$H$4:$K$9,IF(CDV_PROY_MT!$N$69="3F",3,4),FALSE),VLOOKUP(CDV_PROY_MT!H89,FDV!$H$25:$K$30,IF(CDV_PROY_MT!$N$69="3F",3,4),FALSE)))))</f>
        <v>1720</v>
      </c>
      <c r="K89" s="63">
        <f t="shared" si="10"/>
        <v>0</v>
      </c>
      <c r="L89" s="62">
        <f t="shared" si="7"/>
        <v>0</v>
      </c>
      <c r="M89" s="62">
        <f t="shared" si="11"/>
        <v>0.02</v>
      </c>
      <c r="N89" s="155"/>
      <c r="U89" s="138">
        <f t="shared" si="8"/>
        <v>31</v>
      </c>
      <c r="V89" s="138">
        <f t="shared" si="9"/>
        <v>31</v>
      </c>
    </row>
    <row r="90" spans="1:22" ht="15" hidden="1">
      <c r="A90" s="171" t="s">
        <v>161</v>
      </c>
      <c r="B90" s="172" t="s">
        <v>165</v>
      </c>
      <c r="C90" s="286">
        <v>31</v>
      </c>
      <c r="D90" s="286"/>
      <c r="E90" s="276">
        <v>0</v>
      </c>
      <c r="F90" s="277"/>
      <c r="G90" s="59">
        <f t="shared" si="6"/>
        <v>1</v>
      </c>
      <c r="H90" s="183">
        <v>2</v>
      </c>
      <c r="I90" s="183">
        <v>2</v>
      </c>
      <c r="J90" s="59">
        <f>IF(OR(H90="",$D$69="",$N$69=""),"",IF($D$69="COBRE",VLOOKUP(CDV_PROY_MT!H90,FDV!$H$16:$K$24,IF(CDV_PROY_MT!$N$69="3F",3,4),FALSE),IF($D$69="ACS",VLOOKUP(CDV_PROY_MT!H90,FDV!$H$10:$K$15,IF(CDV_PROY_MT!$N$69="3F",3,4),FALSE),IF($D$69="5005 (PREENSAMBLADO)",VLOOKUP(CDV_PROY_MT!H90,FDV!$H$4:$K$9,IF(CDV_PROY_MT!$N$69="3F",3,4),FALSE),VLOOKUP(CDV_PROY_MT!H90,FDV!$H$25:$K$30,IF(CDV_PROY_MT!$N$69="3F",3,4),FALSE)))))</f>
        <v>1720</v>
      </c>
      <c r="K90" s="63">
        <f t="shared" si="10"/>
        <v>0</v>
      </c>
      <c r="L90" s="62">
        <f t="shared" si="7"/>
        <v>0</v>
      </c>
      <c r="M90" s="62">
        <f t="shared" si="11"/>
        <v>0.02</v>
      </c>
      <c r="N90" s="155">
        <f>+M90</f>
        <v>0.02</v>
      </c>
      <c r="U90" s="138">
        <f t="shared" si="8"/>
        <v>31</v>
      </c>
      <c r="V90" s="138">
        <f t="shared" si="9"/>
        <v>31</v>
      </c>
    </row>
    <row r="91" spans="1:22" ht="15" hidden="1">
      <c r="A91" s="167"/>
      <c r="B91" s="168"/>
      <c r="C91" s="286"/>
      <c r="D91" s="286"/>
      <c r="E91" s="276"/>
      <c r="F91" s="277"/>
      <c r="G91" s="59" t="str">
        <f t="shared" si="6"/>
        <v/>
      </c>
      <c r="H91" s="183"/>
      <c r="I91" s="183"/>
      <c r="J91" s="59" t="str">
        <f>IF(OR(H91="",$D$69="",$N$69=""),"",IF($D$69="COBRE",VLOOKUP(CDV_PROY_MT!H91,FDV!$H$16:$K$24,IF(CDV_PROY_MT!$N$69="3F",3,4),FALSE),IF($D$69="ACS",VLOOKUP(CDV_PROY_MT!H91,FDV!$H$10:$K$15,IF(CDV_PROY_MT!$N$69="3F",3,4),FALSE),IF($D$69="5005 (PREENSAMBLADO)",VLOOKUP(CDV_PROY_MT!H91,FDV!$H$4:$K$9,IF(CDV_PROY_MT!$N$69="3F",3,4),FALSE),VLOOKUP(CDV_PROY_MT!H91,FDV!$H$25:$K$30,IF(CDV_PROY_MT!$N$69="3F",3,4),FALSE)))))</f>
        <v/>
      </c>
      <c r="K91" s="63" t="str">
        <f t="shared" si="10"/>
        <v/>
      </c>
      <c r="L91" s="62" t="str">
        <f t="shared" si="7"/>
        <v/>
      </c>
      <c r="M91" s="62" t="str">
        <f t="shared" si="11"/>
        <v/>
      </c>
      <c r="N91" s="155"/>
      <c r="U91" s="138">
        <f t="shared" si="8"/>
        <v>0</v>
      </c>
      <c r="V91" s="138">
        <f t="shared" si="9"/>
        <v>0</v>
      </c>
    </row>
    <row r="92" spans="1:22" ht="15" hidden="1">
      <c r="A92" s="175"/>
      <c r="B92" s="176"/>
      <c r="C92" s="286"/>
      <c r="D92" s="286"/>
      <c r="E92" s="276"/>
      <c r="F92" s="277"/>
      <c r="G92" s="59" t="str">
        <f t="shared" si="6"/>
        <v/>
      </c>
      <c r="H92" s="183"/>
      <c r="I92" s="183"/>
      <c r="J92" s="59" t="str">
        <f>IF(OR(H92="",$D$69="",$N$69=""),"",IF($D$69="COBRE",VLOOKUP(CDV_PROY_MT!H92,FDV!$H$16:$K$24,IF(CDV_PROY_MT!$N$69="3F",3,4),FALSE),IF($D$69="ACS",VLOOKUP(CDV_PROY_MT!H92,FDV!$H$10:$K$15,IF(CDV_PROY_MT!$N$69="3F",3,4),FALSE),IF($D$69="5005 (PREENSAMBLADO)",VLOOKUP(CDV_PROY_MT!H92,FDV!$H$4:$K$9,IF(CDV_PROY_MT!$N$69="3F",3,4),FALSE),VLOOKUP(CDV_PROY_MT!H92,FDV!$H$25:$K$30,IF(CDV_PROY_MT!$N$69="3F",3,4),FALSE)))))</f>
        <v/>
      </c>
      <c r="K92" s="63" t="str">
        <f t="shared" si="10"/>
        <v/>
      </c>
      <c r="L92" s="62" t="str">
        <f t="shared" si="7"/>
        <v/>
      </c>
      <c r="M92" s="62" t="str">
        <f t="shared" si="11"/>
        <v/>
      </c>
      <c r="N92" s="155"/>
      <c r="U92" s="138">
        <f t="shared" si="8"/>
        <v>0</v>
      </c>
      <c r="V92" s="138">
        <f t="shared" si="9"/>
        <v>0</v>
      </c>
    </row>
    <row r="93" spans="1:22" ht="15" hidden="1">
      <c r="A93" s="167"/>
      <c r="B93" s="168"/>
      <c r="C93" s="286"/>
      <c r="D93" s="286"/>
      <c r="E93" s="276"/>
      <c r="F93" s="277"/>
      <c r="G93" s="59" t="str">
        <f t="shared" si="6"/>
        <v/>
      </c>
      <c r="H93" s="183"/>
      <c r="I93" s="183"/>
      <c r="J93" s="59" t="str">
        <f>IF(OR(H93="",$D$69="",$N$69=""),"",IF($D$69="COBRE",VLOOKUP(CDV_PROY_MT!H93,FDV!$H$16:$K$24,IF(CDV_PROY_MT!$N$69="3F",3,4),FALSE),IF($D$69="ACS",VLOOKUP(CDV_PROY_MT!H93,FDV!$H$10:$K$15,IF(CDV_PROY_MT!$N$69="3F",3,4),FALSE),IF($D$69="5005 (PREENSAMBLADO)",VLOOKUP(CDV_PROY_MT!H93,FDV!$H$4:$K$9,IF(CDV_PROY_MT!$N$69="3F",3,4),FALSE),VLOOKUP(CDV_PROY_MT!H93,FDV!$H$25:$K$30,IF(CDV_PROY_MT!$N$69="3F",3,4),FALSE)))))</f>
        <v/>
      </c>
      <c r="K93" s="63" t="str">
        <f t="shared" si="10"/>
        <v/>
      </c>
      <c r="L93" s="62" t="str">
        <f t="shared" si="7"/>
        <v/>
      </c>
      <c r="M93" s="62" t="str">
        <f t="shared" si="11"/>
        <v/>
      </c>
      <c r="N93" s="155"/>
      <c r="U93" s="138">
        <f t="shared" si="8"/>
        <v>0</v>
      </c>
      <c r="V93" s="138">
        <f t="shared" si="9"/>
        <v>0</v>
      </c>
    </row>
    <row r="94" spans="1:22" ht="15" hidden="1">
      <c r="A94" s="167"/>
      <c r="B94" s="168"/>
      <c r="C94" s="286"/>
      <c r="D94" s="286"/>
      <c r="E94" s="276"/>
      <c r="F94" s="277"/>
      <c r="G94" s="59" t="str">
        <f t="shared" si="6"/>
        <v/>
      </c>
      <c r="H94" s="183"/>
      <c r="I94" s="183"/>
      <c r="J94" s="59" t="str">
        <f>IF(OR(H94="",$D$69="",$N$69=""),"",IF($D$69="COBRE",VLOOKUP(CDV_PROY_MT!H94,FDV!$H$16:$K$24,IF(CDV_PROY_MT!$N$69="3F",3,4),FALSE),IF($D$69="ACS",VLOOKUP(CDV_PROY_MT!H94,FDV!$H$10:$K$15,IF(CDV_PROY_MT!$N$69="3F",3,4),FALSE),IF($D$69="5005 (PREENSAMBLADO)",VLOOKUP(CDV_PROY_MT!H94,FDV!$H$4:$K$9,IF(CDV_PROY_MT!$N$69="3F",3,4),FALSE),VLOOKUP(CDV_PROY_MT!H94,FDV!$H$25:$K$30,IF(CDV_PROY_MT!$N$69="3F",3,4),FALSE)))))</f>
        <v/>
      </c>
      <c r="K94" s="63" t="str">
        <f t="shared" si="10"/>
        <v/>
      </c>
      <c r="L94" s="62" t="str">
        <f t="shared" si="7"/>
        <v/>
      </c>
      <c r="M94" s="62" t="str">
        <f t="shared" si="11"/>
        <v/>
      </c>
      <c r="N94" s="155"/>
      <c r="U94" s="138">
        <f t="shared" si="8"/>
        <v>0</v>
      </c>
      <c r="V94" s="138">
        <f t="shared" si="9"/>
        <v>0</v>
      </c>
    </row>
    <row r="95" spans="1:22" ht="15" hidden="1">
      <c r="A95" s="167"/>
      <c r="B95" s="168"/>
      <c r="C95" s="286"/>
      <c r="D95" s="286"/>
      <c r="E95" s="276"/>
      <c r="F95" s="277"/>
      <c r="G95" s="59" t="str">
        <f t="shared" si="6"/>
        <v/>
      </c>
      <c r="H95" s="183"/>
      <c r="I95" s="183"/>
      <c r="J95" s="59" t="str">
        <f>IF(OR(H95="",$D$69="",$N$69=""),"",IF($D$69="COBRE",VLOOKUP(CDV_PROY_MT!H95,FDV!$H$16:$K$24,IF(CDV_PROY_MT!$N$69="3F",3,4),FALSE),IF($D$69="ACS",VLOOKUP(CDV_PROY_MT!H95,FDV!$H$10:$K$15,IF(CDV_PROY_MT!$N$69="3F",3,4),FALSE),IF($D$69="5005 (PREENSAMBLADO)",VLOOKUP(CDV_PROY_MT!H95,FDV!$H$4:$K$9,IF(CDV_PROY_MT!$N$69="3F",3,4),FALSE),VLOOKUP(CDV_PROY_MT!H95,FDV!$H$25:$K$30,IF(CDV_PROY_MT!$N$69="3F",3,4),FALSE)))))</f>
        <v/>
      </c>
      <c r="K95" s="63" t="str">
        <f t="shared" si="10"/>
        <v/>
      </c>
      <c r="L95" s="62" t="str">
        <f t="shared" si="7"/>
        <v/>
      </c>
      <c r="M95" s="62" t="str">
        <f t="shared" si="11"/>
        <v/>
      </c>
      <c r="N95" s="155"/>
      <c r="U95" s="138">
        <f t="shared" si="8"/>
        <v>0</v>
      </c>
      <c r="V95" s="138">
        <f t="shared" si="9"/>
        <v>0</v>
      </c>
    </row>
    <row r="96" spans="1:22" ht="15" hidden="1">
      <c r="A96" s="167"/>
      <c r="B96" s="168"/>
      <c r="C96" s="286"/>
      <c r="D96" s="286"/>
      <c r="E96" s="276"/>
      <c r="F96" s="277"/>
      <c r="G96" s="59" t="str">
        <f t="shared" si="6"/>
        <v/>
      </c>
      <c r="H96" s="183"/>
      <c r="I96" s="183"/>
      <c r="J96" s="59" t="str">
        <f>IF(OR(H96="",$D$69="",$N$69=""),"",IF($D$69="COBRE",VLOOKUP(CDV_PROY_MT!H96,FDV!$H$16:$K$24,IF(CDV_PROY_MT!$N$69="3F",3,4),FALSE),IF($D$69="ACS",VLOOKUP(CDV_PROY_MT!H96,FDV!$H$10:$K$15,IF(CDV_PROY_MT!$N$69="3F",3,4),FALSE),IF($D$69="5005 (PREENSAMBLADO)",VLOOKUP(CDV_PROY_MT!H96,FDV!$H$4:$K$9,IF(CDV_PROY_MT!$N$69="3F",3,4),FALSE),VLOOKUP(CDV_PROY_MT!H96,FDV!$H$25:$K$30,IF(CDV_PROY_MT!$N$69="3F",3,4),FALSE)))))</f>
        <v/>
      </c>
      <c r="K96" s="63" t="str">
        <f t="shared" si="10"/>
        <v/>
      </c>
      <c r="L96" s="62" t="str">
        <f t="shared" si="7"/>
        <v/>
      </c>
      <c r="M96" s="62" t="str">
        <f t="shared" si="11"/>
        <v/>
      </c>
      <c r="N96" s="155"/>
      <c r="U96" s="138">
        <f t="shared" si="8"/>
        <v>0</v>
      </c>
      <c r="V96" s="138">
        <f t="shared" si="9"/>
        <v>0</v>
      </c>
    </row>
    <row r="97" spans="1:22" ht="15" hidden="1">
      <c r="A97" s="167"/>
      <c r="B97" s="168"/>
      <c r="C97" s="286"/>
      <c r="D97" s="286"/>
      <c r="E97" s="276"/>
      <c r="F97" s="277"/>
      <c r="G97" s="59" t="str">
        <f t="shared" si="6"/>
        <v/>
      </c>
      <c r="H97" s="183"/>
      <c r="I97" s="183"/>
      <c r="J97" s="59" t="str">
        <f>IF(OR(H97="",$D$69="",$N$69=""),"",IF($D$69="COBRE",VLOOKUP(CDV_PROY_MT!H97,FDV!$H$16:$K$24,IF(CDV_PROY_MT!$N$69="3F",3,4),FALSE),IF($D$69="ACS",VLOOKUP(CDV_PROY_MT!H97,FDV!$H$10:$K$15,IF(CDV_PROY_MT!$N$69="3F",3,4),FALSE),IF($D$69="5005 (PREENSAMBLADO)",VLOOKUP(CDV_PROY_MT!H97,FDV!$H$4:$K$9,IF(CDV_PROY_MT!$N$69="3F",3,4),FALSE),VLOOKUP(CDV_PROY_MT!H97,FDV!$H$25:$K$30,IF(CDV_PROY_MT!$N$69="3F",3,4),FALSE)))))</f>
        <v/>
      </c>
      <c r="K97" s="63" t="str">
        <f t="shared" si="10"/>
        <v/>
      </c>
      <c r="L97" s="62" t="str">
        <f t="shared" si="7"/>
        <v/>
      </c>
      <c r="M97" s="62" t="str">
        <f t="shared" si="11"/>
        <v/>
      </c>
      <c r="N97" s="155"/>
      <c r="U97" s="138">
        <f t="shared" si="8"/>
        <v>0</v>
      </c>
      <c r="V97" s="138">
        <f t="shared" si="9"/>
        <v>0</v>
      </c>
    </row>
    <row r="98" spans="1:22" ht="15" hidden="1">
      <c r="A98" s="167"/>
      <c r="B98" s="168"/>
      <c r="C98" s="286"/>
      <c r="D98" s="286"/>
      <c r="E98" s="276"/>
      <c r="F98" s="277"/>
      <c r="G98" s="59" t="str">
        <f t="shared" si="6"/>
        <v/>
      </c>
      <c r="H98" s="183"/>
      <c r="I98" s="183"/>
      <c r="J98" s="59" t="str">
        <f>IF(OR(H98="",$D$69="",$N$69=""),"",IF($D$69="COBRE",VLOOKUP(CDV_PROY_MT!H98,FDV!$H$16:$K$24,IF(CDV_PROY_MT!$N$69="3F",3,4),FALSE),IF($D$69="ACS",VLOOKUP(CDV_PROY_MT!H98,FDV!$H$10:$K$15,IF(CDV_PROY_MT!$N$69="3F",3,4),FALSE),IF($D$69="5005 (PREENSAMBLADO)",VLOOKUP(CDV_PROY_MT!H98,FDV!$H$4:$K$9,IF(CDV_PROY_MT!$N$69="3F",3,4),FALSE),VLOOKUP(CDV_PROY_MT!H98,FDV!$H$25:$K$30,IF(CDV_PROY_MT!$N$69="3F",3,4),FALSE)))))</f>
        <v/>
      </c>
      <c r="K98" s="63" t="str">
        <f t="shared" si="10"/>
        <v/>
      </c>
      <c r="L98" s="62" t="str">
        <f t="shared" si="7"/>
        <v/>
      </c>
      <c r="M98" s="62" t="str">
        <f t="shared" si="11"/>
        <v/>
      </c>
      <c r="N98" s="155"/>
      <c r="U98" s="138">
        <f t="shared" si="8"/>
        <v>0</v>
      </c>
      <c r="V98" s="138">
        <f t="shared" si="9"/>
        <v>0</v>
      </c>
    </row>
    <row r="99" spans="1:22" ht="15" hidden="1">
      <c r="A99" s="167"/>
      <c r="B99" s="168"/>
      <c r="C99" s="286"/>
      <c r="D99" s="286"/>
      <c r="E99" s="276"/>
      <c r="F99" s="277"/>
      <c r="G99" s="59" t="str">
        <f t="shared" si="6"/>
        <v/>
      </c>
      <c r="H99" s="183"/>
      <c r="I99" s="183"/>
      <c r="J99" s="59" t="str">
        <f>IF(OR(H99="",$D$69="",$N$69=""),"",IF($D$69="COBRE",VLOOKUP(CDV_PROY_MT!H99,FDV!$H$16:$K$24,IF(CDV_PROY_MT!$N$69="3F",3,4),FALSE),IF($D$69="ACS",VLOOKUP(CDV_PROY_MT!H99,FDV!$H$10:$K$15,IF(CDV_PROY_MT!$N$69="3F",3,4),FALSE),IF($D$69="5005 (PREENSAMBLADO)",VLOOKUP(CDV_PROY_MT!H99,FDV!$H$4:$K$9,IF(CDV_PROY_MT!$N$69="3F",3,4),FALSE),VLOOKUP(CDV_PROY_MT!H99,FDV!$H$25:$K$30,IF(CDV_PROY_MT!$N$69="3F",3,4),FALSE)))))</f>
        <v/>
      </c>
      <c r="K99" s="63" t="str">
        <f t="shared" si="10"/>
        <v/>
      </c>
      <c r="L99" s="62" t="str">
        <f t="shared" si="7"/>
        <v/>
      </c>
      <c r="M99" s="62" t="str">
        <f t="shared" si="11"/>
        <v/>
      </c>
      <c r="N99" s="155"/>
      <c r="U99" s="138">
        <f t="shared" si="8"/>
        <v>0</v>
      </c>
      <c r="V99" s="138">
        <f t="shared" si="9"/>
        <v>0</v>
      </c>
    </row>
    <row r="100" spans="1:22" ht="15" hidden="1">
      <c r="A100" s="167"/>
      <c r="B100" s="168"/>
      <c r="C100" s="286"/>
      <c r="D100" s="286"/>
      <c r="E100" s="276"/>
      <c r="F100" s="277"/>
      <c r="G100" s="59" t="str">
        <f t="shared" si="6"/>
        <v/>
      </c>
      <c r="H100" s="183"/>
      <c r="I100" s="183"/>
      <c r="J100" s="59" t="str">
        <f>IF(OR(H100="",$D$69="",$N$69=""),"",IF($D$69="COBRE",VLOOKUP(CDV_PROY_MT!H100,FDV!$H$16:$K$24,IF(CDV_PROY_MT!$N$69="3F",3,4),FALSE),IF($D$69="ACS",VLOOKUP(CDV_PROY_MT!H100,FDV!$H$10:$K$15,IF(CDV_PROY_MT!$N$69="3F",3,4),FALSE),IF($D$69="5005 (PREENSAMBLADO)",VLOOKUP(CDV_PROY_MT!H100,FDV!$H$4:$K$9,IF(CDV_PROY_MT!$N$69="3F",3,4),FALSE),VLOOKUP(CDV_PROY_MT!H100,FDV!$H$25:$K$30,IF(CDV_PROY_MT!$N$69="3F",3,4),FALSE)))))</f>
        <v/>
      </c>
      <c r="K100" s="63" t="str">
        <f t="shared" si="10"/>
        <v/>
      </c>
      <c r="L100" s="62" t="str">
        <f t="shared" si="7"/>
        <v/>
      </c>
      <c r="M100" s="62" t="str">
        <f t="shared" si="11"/>
        <v/>
      </c>
      <c r="N100" s="155"/>
      <c r="U100" s="138">
        <f t="shared" si="8"/>
        <v>0</v>
      </c>
      <c r="V100" s="138">
        <f t="shared" si="9"/>
        <v>0</v>
      </c>
    </row>
    <row r="101" spans="1:22" ht="15" hidden="1">
      <c r="A101" s="167"/>
      <c r="B101" s="168"/>
      <c r="C101" s="286"/>
      <c r="D101" s="286"/>
      <c r="E101" s="276"/>
      <c r="F101" s="277"/>
      <c r="G101" s="59" t="str">
        <f t="shared" si="6"/>
        <v/>
      </c>
      <c r="H101" s="183"/>
      <c r="I101" s="183"/>
      <c r="J101" s="59" t="str">
        <f>IF(OR(H101="",$D$69="",$N$69=""),"",IF($D$69="COBRE",VLOOKUP(CDV_PROY_MT!H101,FDV!$H$16:$K$24,IF(CDV_PROY_MT!$N$69="3F",3,4),FALSE),IF($D$69="ACS",VLOOKUP(CDV_PROY_MT!H101,FDV!$H$10:$K$15,IF(CDV_PROY_MT!$N$69="3F",3,4),FALSE),IF($D$69="5005 (PREENSAMBLADO)",VLOOKUP(CDV_PROY_MT!H101,FDV!$H$4:$K$9,IF(CDV_PROY_MT!$N$69="3F",3,4),FALSE),VLOOKUP(CDV_PROY_MT!H101,FDV!$H$25:$K$30,IF(CDV_PROY_MT!$N$69="3F",3,4),FALSE)))))</f>
        <v/>
      </c>
      <c r="K101" s="63" t="str">
        <f t="shared" si="10"/>
        <v/>
      </c>
      <c r="L101" s="62" t="str">
        <f t="shared" si="7"/>
        <v/>
      </c>
      <c r="M101" s="62" t="str">
        <f t="shared" si="11"/>
        <v/>
      </c>
      <c r="N101" s="155"/>
      <c r="U101" s="138">
        <f t="shared" si="8"/>
        <v>0</v>
      </c>
      <c r="V101" s="138">
        <f t="shared" si="9"/>
        <v>0</v>
      </c>
    </row>
    <row r="102" spans="1:22" ht="15" hidden="1">
      <c r="A102" s="167"/>
      <c r="B102" s="168"/>
      <c r="C102" s="286"/>
      <c r="D102" s="286"/>
      <c r="E102" s="276"/>
      <c r="F102" s="277"/>
      <c r="G102" s="59" t="str">
        <f t="shared" si="6"/>
        <v/>
      </c>
      <c r="H102" s="183"/>
      <c r="I102" s="183"/>
      <c r="J102" s="59" t="str">
        <f>IF(OR(H102="",$D$69="",$N$69=""),"",IF($D$69="COBRE",VLOOKUP(CDV_PROY_MT!H102,FDV!$H$16:$K$24,IF(CDV_PROY_MT!$N$69="3F",3,4),FALSE),IF($D$69="ACS",VLOOKUP(CDV_PROY_MT!H102,FDV!$H$10:$K$15,IF(CDV_PROY_MT!$N$69="3F",3,4),FALSE),IF($D$69="5005 (PREENSAMBLADO)",VLOOKUP(CDV_PROY_MT!H102,FDV!$H$4:$K$9,IF(CDV_PROY_MT!$N$69="3F",3,4),FALSE),VLOOKUP(CDV_PROY_MT!H102,FDV!$H$25:$K$30,IF(CDV_PROY_MT!$N$69="3F",3,4),FALSE)))))</f>
        <v/>
      </c>
      <c r="K102" s="63" t="str">
        <f t="shared" si="10"/>
        <v/>
      </c>
      <c r="L102" s="62" t="str">
        <f t="shared" si="7"/>
        <v/>
      </c>
      <c r="M102" s="62" t="str">
        <f t="shared" si="11"/>
        <v/>
      </c>
      <c r="N102" s="155"/>
      <c r="U102" s="138">
        <f t="shared" si="8"/>
        <v>0</v>
      </c>
      <c r="V102" s="138">
        <f t="shared" si="9"/>
        <v>0</v>
      </c>
    </row>
    <row r="103" spans="1:22" ht="15" hidden="1">
      <c r="A103" s="167"/>
      <c r="B103" s="168"/>
      <c r="C103" s="286"/>
      <c r="D103" s="286"/>
      <c r="E103" s="276"/>
      <c r="F103" s="277"/>
      <c r="G103" s="59" t="str">
        <f t="shared" si="6"/>
        <v/>
      </c>
      <c r="H103" s="183"/>
      <c r="I103" s="183"/>
      <c r="J103" s="59" t="str">
        <f>IF(OR(H103="",$D$69="",$N$69=""),"",IF($D$69="COBRE",VLOOKUP(CDV_PROY_MT!H103,FDV!$H$16:$K$24,IF(CDV_PROY_MT!$N$69="3F",3,4),FALSE),IF($D$69="ACS",VLOOKUP(CDV_PROY_MT!H103,FDV!$H$10:$K$15,IF(CDV_PROY_MT!$N$69="3F",3,4),FALSE),IF($D$69="5005 (PREENSAMBLADO)",VLOOKUP(CDV_PROY_MT!H103,FDV!$H$4:$K$9,IF(CDV_PROY_MT!$N$69="3F",3,4),FALSE),VLOOKUP(CDV_PROY_MT!H103,FDV!$H$25:$K$30,IF(CDV_PROY_MT!$N$69="3F",3,4),FALSE)))))</f>
        <v/>
      </c>
      <c r="K103" s="63" t="str">
        <f t="shared" si="10"/>
        <v/>
      </c>
      <c r="L103" s="62" t="str">
        <f t="shared" si="7"/>
        <v/>
      </c>
      <c r="M103" s="62" t="str">
        <f t="shared" si="11"/>
        <v/>
      </c>
      <c r="N103" s="155"/>
      <c r="U103" s="138">
        <f t="shared" si="8"/>
        <v>0</v>
      </c>
      <c r="V103" s="138">
        <f t="shared" si="9"/>
        <v>0</v>
      </c>
    </row>
    <row r="104" spans="1:22" ht="15" hidden="1">
      <c r="A104" s="167"/>
      <c r="B104" s="168"/>
      <c r="C104" s="286"/>
      <c r="D104" s="286"/>
      <c r="E104" s="276"/>
      <c r="F104" s="277"/>
      <c r="G104" s="59" t="str">
        <f t="shared" si="6"/>
        <v/>
      </c>
      <c r="H104" s="183"/>
      <c r="I104" s="183"/>
      <c r="J104" s="59" t="str">
        <f>IF(OR(H104="",$D$69="",$N$69=""),"",IF($D$69="COBRE",VLOOKUP(CDV_PROY_MT!H104,FDV!$H$16:$K$24,IF(CDV_PROY_MT!$N$69="3F",3,4),FALSE),IF($D$69="ACS",VLOOKUP(CDV_PROY_MT!H104,FDV!$H$10:$K$15,IF(CDV_PROY_MT!$N$69="3F",3,4),FALSE),IF($D$69="5005 (PREENSAMBLADO)",VLOOKUP(CDV_PROY_MT!H104,FDV!$H$4:$K$9,IF(CDV_PROY_MT!$N$69="3F",3,4),FALSE),VLOOKUP(CDV_PROY_MT!H104,FDV!$H$25:$K$30,IF(CDV_PROY_MT!$N$69="3F",3,4),FALSE)))))</f>
        <v/>
      </c>
      <c r="K104" s="63" t="str">
        <f t="shared" si="10"/>
        <v/>
      </c>
      <c r="L104" s="62" t="str">
        <f t="shared" si="7"/>
        <v/>
      </c>
      <c r="M104" s="62" t="str">
        <f t="shared" si="11"/>
        <v/>
      </c>
      <c r="N104" s="155"/>
      <c r="U104" s="138">
        <f t="shared" si="8"/>
        <v>0</v>
      </c>
      <c r="V104" s="138">
        <f t="shared" si="9"/>
        <v>0</v>
      </c>
    </row>
    <row r="105" spans="1:22" ht="15" hidden="1">
      <c r="A105" s="167"/>
      <c r="B105" s="168"/>
      <c r="C105" s="286"/>
      <c r="D105" s="286"/>
      <c r="E105" s="276"/>
      <c r="F105" s="277"/>
      <c r="G105" s="59" t="str">
        <f t="shared" si="6"/>
        <v/>
      </c>
      <c r="H105" s="183"/>
      <c r="I105" s="183"/>
      <c r="J105" s="59" t="str">
        <f>IF(OR(H105="",$D$69="",$N$69=""),"",IF($D$69="COBRE",VLOOKUP(CDV_PROY_MT!H105,FDV!$H$16:$K$24,IF(CDV_PROY_MT!$N$69="3F",3,4),FALSE),IF($D$69="ACS",VLOOKUP(CDV_PROY_MT!H105,FDV!$H$10:$K$15,IF(CDV_PROY_MT!$N$69="3F",3,4),FALSE),IF($D$69="5005 (PREENSAMBLADO)",VLOOKUP(CDV_PROY_MT!H105,FDV!$H$4:$K$9,IF(CDV_PROY_MT!$N$69="3F",3,4),FALSE),VLOOKUP(CDV_PROY_MT!H105,FDV!$H$25:$K$30,IF(CDV_PROY_MT!$N$69="3F",3,4),FALSE)))))</f>
        <v/>
      </c>
      <c r="K105" s="63" t="str">
        <f t="shared" si="10"/>
        <v/>
      </c>
      <c r="L105" s="62" t="str">
        <f t="shared" si="7"/>
        <v/>
      </c>
      <c r="M105" s="62" t="str">
        <f t="shared" si="11"/>
        <v/>
      </c>
      <c r="N105" s="155"/>
      <c r="U105" s="138">
        <f t="shared" si="8"/>
        <v>0</v>
      </c>
      <c r="V105" s="138">
        <f t="shared" si="9"/>
        <v>0</v>
      </c>
    </row>
    <row r="106" spans="1:22" ht="15" hidden="1">
      <c r="A106" s="167"/>
      <c r="B106" s="168"/>
      <c r="C106" s="286"/>
      <c r="D106" s="286"/>
      <c r="E106" s="276"/>
      <c r="F106" s="277"/>
      <c r="G106" s="59" t="str">
        <f t="shared" si="6"/>
        <v/>
      </c>
      <c r="H106" s="183"/>
      <c r="I106" s="183"/>
      <c r="J106" s="59" t="str">
        <f>IF(OR(H106="",$D$69="",$N$69=""),"",IF($D$69="COBRE",VLOOKUP(CDV_PROY_MT!H106,FDV!$H$16:$K$24,IF(CDV_PROY_MT!$N$69="3F",3,4),FALSE),IF($D$69="ACS",VLOOKUP(CDV_PROY_MT!H106,FDV!$H$10:$K$15,IF(CDV_PROY_MT!$N$69="3F",3,4),FALSE),IF($D$69="5005 (PREENSAMBLADO)",VLOOKUP(CDV_PROY_MT!H106,FDV!$H$4:$K$9,IF(CDV_PROY_MT!$N$69="3F",3,4),FALSE),VLOOKUP(CDV_PROY_MT!H106,FDV!$H$25:$K$30,IF(CDV_PROY_MT!$N$69="3F",3,4),FALSE)))))</f>
        <v/>
      </c>
      <c r="K106" s="63" t="str">
        <f t="shared" si="10"/>
        <v/>
      </c>
      <c r="L106" s="62" t="str">
        <f t="shared" si="7"/>
        <v/>
      </c>
      <c r="M106" s="62" t="str">
        <f t="shared" si="11"/>
        <v/>
      </c>
      <c r="N106" s="155"/>
      <c r="U106" s="138">
        <f t="shared" si="8"/>
        <v>0</v>
      </c>
      <c r="V106" s="138">
        <f t="shared" si="9"/>
        <v>0</v>
      </c>
    </row>
    <row r="107" spans="1:22" ht="15" hidden="1">
      <c r="A107" s="167"/>
      <c r="B107" s="168"/>
      <c r="C107" s="286"/>
      <c r="D107" s="286"/>
      <c r="E107" s="276"/>
      <c r="F107" s="277"/>
      <c r="G107" s="59" t="str">
        <f t="shared" si="6"/>
        <v/>
      </c>
      <c r="H107" s="183"/>
      <c r="I107" s="183"/>
      <c r="J107" s="59" t="str">
        <f>IF(OR(H107="",$D$69="",$N$69=""),"",IF($D$69="COBRE",VLOOKUP(CDV_PROY_MT!H107,FDV!$H$16:$K$24,IF(CDV_PROY_MT!$N$69="3F",3,4),FALSE),IF($D$69="ACS",VLOOKUP(CDV_PROY_MT!H107,FDV!$H$10:$K$15,IF(CDV_PROY_MT!$N$69="3F",3,4),FALSE),IF($D$69="5005 (PREENSAMBLADO)",VLOOKUP(CDV_PROY_MT!H107,FDV!$H$4:$K$9,IF(CDV_PROY_MT!$N$69="3F",3,4),FALSE),VLOOKUP(CDV_PROY_MT!H107,FDV!$H$25:$K$30,IF(CDV_PROY_MT!$N$69="3F",3,4),FALSE)))))</f>
        <v/>
      </c>
      <c r="K107" s="63" t="str">
        <f t="shared" si="10"/>
        <v/>
      </c>
      <c r="L107" s="62" t="str">
        <f t="shared" si="7"/>
        <v/>
      </c>
      <c r="M107" s="62" t="str">
        <f t="shared" si="11"/>
        <v/>
      </c>
      <c r="N107" s="156"/>
      <c r="U107" s="138">
        <f t="shared" si="8"/>
        <v>0</v>
      </c>
      <c r="V107" s="138">
        <f t="shared" si="9"/>
        <v>0</v>
      </c>
    </row>
    <row r="108" spans="1:22" ht="15.75" hidden="1" thickBot="1">
      <c r="A108" s="178"/>
      <c r="B108" s="179"/>
      <c r="C108" s="295"/>
      <c r="D108" s="295"/>
      <c r="E108" s="296"/>
      <c r="F108" s="297"/>
      <c r="G108" s="69"/>
      <c r="H108" s="184"/>
      <c r="I108" s="184"/>
      <c r="J108" s="69" t="str">
        <f>IF(OR(H108="",$D$69="",$N$69=""),"",IF($D$69="COBRE",VLOOKUP(CDV_PROY_MT!H108,FDV!$H$16:$K$24,IF(CDV_PROY_MT!$N$69="3F",3,4),FALSE),IF($D$69="ACS",VLOOKUP(CDV_PROY_MT!H108,FDV!$H$10:$K$15,IF(CDV_PROY_MT!$N$69="3F",3,4),FALSE),IF($D$69="5005 (PREENSAMBLADO)",VLOOKUP(CDV_PROY_MT!H108,FDV!$H$4:$K$9,IF(CDV_PROY_MT!$N$69="3F",3,4),FALSE),VLOOKUP(CDV_PROY_MT!H108,FDV!$H$25:$K$30,IF(CDV_PROY_MT!$N$69="3F",3,4),FALSE)))))</f>
        <v/>
      </c>
      <c r="K108" s="65" t="str">
        <f t="shared" si="10"/>
        <v/>
      </c>
      <c r="L108" s="64"/>
      <c r="M108" s="64" t="str">
        <f t="shared" si="11"/>
        <v/>
      </c>
      <c r="N108" s="157"/>
      <c r="U108" s="138">
        <f t="shared" si="8"/>
        <v>0</v>
      </c>
      <c r="V108" s="138">
        <f t="shared" si="9"/>
        <v>0</v>
      </c>
    </row>
    <row r="109" spans="1:22" ht="15.75" hidden="1" thickBot="1">
      <c r="A109" s="143"/>
      <c r="B109" s="67" t="str">
        <f>IF(N78="","",N78)</f>
        <v>P30</v>
      </c>
      <c r="C109" s="144"/>
      <c r="D109" s="144"/>
      <c r="E109" s="145"/>
      <c r="F109" s="68" t="str">
        <f>IF($N$8="","",IF($N$8="INDUSTRIAL",IF(OR($D$6="",$D$12=""),"",IF(OR(D109&gt;$D$13,E109&gt;$D$14),"Rev. Total. abona.",IF(D109="",IF(E109="","",E109/(0.9*1000)),IF(OR($D$6="SAN CRISTOBAL",$D$6="FLOREANA"),VLOOKUP(D109,'Estratos SCY - FLO'!$A$4:$M$108,IF($D$12="A1",2,IF($D$12="A",5,IF($D$12="B",8,11))))+E109/(0.92*1000),VLOOKUP(D109,'Estratos SCX - ISA'!$A$3:$M$107,IF($D$12="A1",2,IF($D$12="A",5,IF($D$12="B",8,11))))+E109/(0.92*1000))))),IF(OR($D$6="",$D$12=""),"",IF(OR(D109&gt;$D$13,E109&gt;$D$14),"Rev. Total. abona.",IF(D109="",IF(E109="","",E109/(0.92*1000)),IF(OR($D$6="SAN CRISTOBAL",$D$6="FLOREANA"),VLOOKUP(D109,'Estratos SCY - FLO'!$O$4:$S$108,IF($D$12="A1",2,IF($D$12="A",3,IF($D$12="B",4,5))))+E109/(0.92*1000),VLOOKUP(D109,'Estratos SCX - ISA'!$O$4:$S$108,IF($D$12="A1",2,IF($D$12="A",3,IF($D$12="B",4,5))))+E109/(0.92*1000)))))))</f>
        <v/>
      </c>
      <c r="G109" s="69" t="str">
        <f>IF(OR($N$10="",C109=""),"",IF($N$10="1F",1,3))</f>
        <v/>
      </c>
      <c r="H109" s="146" t="e">
        <f>IF(B109="","",IF(B109-A109=1,H108,""))</f>
        <v>#VALUE!</v>
      </c>
      <c r="I109" s="146"/>
      <c r="J109" s="70" t="e">
        <f>IF(OR(H109="",$D$69="",$N$69=""),"",IF($D$69="COBRE",VLOOKUP(CDV_PROY_MT!H109,FDV!$H$16:$K$24,IF(CDV_PROY_MT!$N$69="3F",3,4),FALSE),IF($D$69="ACS",VLOOKUP(CDV_PROY_MT!H109,FDV!$H$10:$K$15,IF(CDV_PROY_MT!$N$69="3F",3,4),FALSE),IF($D$69="5005 (PREENSAMBLADO)",VLOOKUP(CDV_PROY_MT!H109,FDV!$H$4:$K$9,IF(CDV_PROY_MT!$N$69="3F",3,4),FALSE),VLOOKUP(CDV_PROY_MT!H109,FDV!$H$25:$K$30,IF(CDV_PROY_MT!$N$69="3F",3,4),FALSE)))))</f>
        <v>#VALUE!</v>
      </c>
      <c r="K109" s="71" t="str">
        <f>IF(C109="","",ROUND(F109*C109,0))</f>
        <v/>
      </c>
      <c r="L109" s="68" t="str">
        <f>IF(C109="","",ROUND(K109/J109,2))</f>
        <v/>
      </c>
      <c r="M109" s="72">
        <v>0</v>
      </c>
      <c r="N109" s="66"/>
      <c r="U109" s="138">
        <f t="shared" si="8"/>
        <v>0</v>
      </c>
      <c r="V109" s="138">
        <f>IF(C109="",0,C109*G109)</f>
        <v>0</v>
      </c>
    </row>
    <row r="110" spans="1:22" ht="15.75" hidden="1" thickBot="1">
      <c r="A110" s="73" t="s">
        <v>113</v>
      </c>
      <c r="B110" s="74"/>
      <c r="C110" s="75"/>
      <c r="D110" s="75"/>
      <c r="E110" s="76"/>
      <c r="F110" s="77"/>
      <c r="G110" s="78"/>
      <c r="H110" s="79"/>
      <c r="I110" s="79"/>
      <c r="J110" s="78"/>
      <c r="K110" s="121"/>
      <c r="L110" s="121"/>
      <c r="M110" s="128"/>
      <c r="N110" s="240"/>
      <c r="U110" s="138">
        <f>+IF(D110&gt;0,C110,0)</f>
        <v>0</v>
      </c>
      <c r="V110" s="138">
        <f>IF(C110="",0,C110*G110)</f>
        <v>0</v>
      </c>
    </row>
    <row r="111" spans="1:14" ht="15.75" hidden="1" thickBot="1">
      <c r="A111" s="93" t="s">
        <v>96</v>
      </c>
      <c r="B111" s="94">
        <f>+ROUND(SUMIF(H82:H108,"4/0",V82:V110)*1.015,0)</f>
        <v>0</v>
      </c>
      <c r="C111" s="93" t="s">
        <v>97</v>
      </c>
      <c r="D111" s="94">
        <f>ROUND((SUMIF(H82:H108,"3/0",V82:V110))*1.015,0)</f>
        <v>0</v>
      </c>
      <c r="E111" s="82" t="s">
        <v>95</v>
      </c>
      <c r="F111" s="81">
        <f>ROUND((SUMIF(H82:H108,"2/0",V82:V110))*1.015,0)</f>
        <v>0</v>
      </c>
      <c r="G111" s="80" t="s">
        <v>57</v>
      </c>
      <c r="H111" s="81">
        <f>ROUND((SUMIF(H82:H108,"1/0",V82:V110))*1.015,0)</f>
        <v>0</v>
      </c>
      <c r="I111" s="93" t="s">
        <v>58</v>
      </c>
      <c r="J111" s="94">
        <f>ROUND((SUMIF(H82:H108,"2",V82:V110))*1.015,0)</f>
        <v>281</v>
      </c>
      <c r="K111" s="147"/>
      <c r="L111" s="91"/>
      <c r="M111" s="92"/>
      <c r="N111" s="241"/>
    </row>
    <row r="112" spans="1:14" ht="15.75" hidden="1" thickBot="1">
      <c r="A112" s="119" t="s">
        <v>107</v>
      </c>
      <c r="B112" s="92"/>
      <c r="C112" s="91"/>
      <c r="D112" s="92"/>
      <c r="E112" s="91"/>
      <c r="F112" s="92"/>
      <c r="G112" s="91"/>
      <c r="H112" s="92"/>
      <c r="I112" s="92"/>
      <c r="J112" s="91"/>
      <c r="K112" s="92"/>
      <c r="L112" s="91"/>
      <c r="M112" s="92"/>
      <c r="N112" s="241"/>
    </row>
    <row r="113" spans="1:14" ht="15.75" hidden="1" thickBot="1">
      <c r="A113" s="93" t="s">
        <v>96</v>
      </c>
      <c r="B113" s="94">
        <f>+ROUND(SUMIF(I82:I108,"4/0",U82:U110)*1.015,0)</f>
        <v>0</v>
      </c>
      <c r="C113" s="93" t="s">
        <v>97</v>
      </c>
      <c r="D113" s="94">
        <f>ROUND((SUMIF(I82:I108,"3/0",U82:U110))*1.015,0)</f>
        <v>0</v>
      </c>
      <c r="E113" s="93" t="s">
        <v>95</v>
      </c>
      <c r="F113" s="94">
        <f>ROUND((SUMIF(I82:I108,"2/0",U82:U110))*1.015,0)</f>
        <v>0</v>
      </c>
      <c r="G113" s="93" t="s">
        <v>57</v>
      </c>
      <c r="H113" s="94">
        <f>ROUND((SUMIF(I82:I108,"1/0",U82:U110))*1.015,0)</f>
        <v>0</v>
      </c>
      <c r="I113" s="93" t="s">
        <v>58</v>
      </c>
      <c r="J113" s="94">
        <f>ROUND((SUMIF(I82:I108,"2",U82:U110))*1.015,0)</f>
        <v>281</v>
      </c>
      <c r="L113" s="91"/>
      <c r="M113" s="92"/>
      <c r="N113" s="241"/>
    </row>
    <row r="114" spans="1:14" ht="15.75" hidden="1" thickBot="1">
      <c r="A114" s="244" t="s">
        <v>123</v>
      </c>
      <c r="B114" s="244"/>
      <c r="C114" s="244"/>
      <c r="D114" s="21">
        <f>IF(N69="","",SUM(C82:C108))</f>
        <v>277</v>
      </c>
      <c r="E114" s="28" t="s">
        <v>59</v>
      </c>
      <c r="G114" s="21"/>
      <c r="H114" s="21"/>
      <c r="I114" s="21"/>
      <c r="J114" s="21"/>
      <c r="K114" s="21"/>
      <c r="L114" s="21"/>
      <c r="M114" s="23"/>
      <c r="N114" s="83" t="s">
        <v>80</v>
      </c>
    </row>
    <row r="115" spans="1:14" ht="15" hidden="1">
      <c r="A115" s="36" t="s">
        <v>60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9"/>
      <c r="N115" s="84" t="s">
        <v>61</v>
      </c>
    </row>
    <row r="116" spans="1:14" ht="15.75" hidden="1" thickBot="1">
      <c r="A116" s="148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3"/>
      <c r="N116" s="85">
        <f>MAX(N82:N108)</f>
        <v>0.02</v>
      </c>
    </row>
    <row r="117" ht="15" hidden="1"/>
  </sheetData>
  <mergeCells count="163">
    <mergeCell ref="C98:D98"/>
    <mergeCell ref="E98:F98"/>
    <mergeCell ref="C99:D99"/>
    <mergeCell ref="E99:F99"/>
    <mergeCell ref="C100:D100"/>
    <mergeCell ref="E100:F100"/>
    <mergeCell ref="C95:D95"/>
    <mergeCell ref="E95:F95"/>
    <mergeCell ref="C96:D96"/>
    <mergeCell ref="E96:F96"/>
    <mergeCell ref="C97:D97"/>
    <mergeCell ref="E97:F97"/>
    <mergeCell ref="C108:D108"/>
    <mergeCell ref="E108:F108"/>
    <mergeCell ref="C104:D104"/>
    <mergeCell ref="E104:F104"/>
    <mergeCell ref="C105:D105"/>
    <mergeCell ref="E105:F105"/>
    <mergeCell ref="C106:D106"/>
    <mergeCell ref="E106:F106"/>
    <mergeCell ref="C101:D101"/>
    <mergeCell ref="E101:F101"/>
    <mergeCell ref="C102:D102"/>
    <mergeCell ref="E102:F102"/>
    <mergeCell ref="C103:D103"/>
    <mergeCell ref="E103:F103"/>
    <mergeCell ref="C107:D107"/>
    <mergeCell ref="E107:F107"/>
    <mergeCell ref="C93:D93"/>
    <mergeCell ref="E93:F93"/>
    <mergeCell ref="C94:D94"/>
    <mergeCell ref="E94:F94"/>
    <mergeCell ref="C89:D89"/>
    <mergeCell ref="E89:F89"/>
    <mergeCell ref="C90:D90"/>
    <mergeCell ref="E90:F90"/>
    <mergeCell ref="C91:D91"/>
    <mergeCell ref="E91:F91"/>
    <mergeCell ref="C92:D92"/>
    <mergeCell ref="E92:F92"/>
    <mergeCell ref="C87:D87"/>
    <mergeCell ref="E87:F87"/>
    <mergeCell ref="C88:D88"/>
    <mergeCell ref="E88:F88"/>
    <mergeCell ref="C82:D82"/>
    <mergeCell ref="C83:D83"/>
    <mergeCell ref="E83:F83"/>
    <mergeCell ref="C84:D84"/>
    <mergeCell ref="E84:F84"/>
    <mergeCell ref="C85:D85"/>
    <mergeCell ref="E85:F85"/>
    <mergeCell ref="E38:F38"/>
    <mergeCell ref="E39:F39"/>
    <mergeCell ref="E40:F40"/>
    <mergeCell ref="E41:F41"/>
    <mergeCell ref="E42:F42"/>
    <mergeCell ref="E43:F43"/>
    <mergeCell ref="C86:D86"/>
    <mergeCell ref="E86:F86"/>
    <mergeCell ref="A61:N61"/>
    <mergeCell ref="A63:N63"/>
    <mergeCell ref="D65:E65"/>
    <mergeCell ref="F65:G65"/>
    <mergeCell ref="H65:J65"/>
    <mergeCell ref="K65:L65"/>
    <mergeCell ref="M65:N65"/>
    <mergeCell ref="D69:G69"/>
    <mergeCell ref="E33:F33"/>
    <mergeCell ref="E34:F34"/>
    <mergeCell ref="C49:D49"/>
    <mergeCell ref="E21:F21"/>
    <mergeCell ref="E22:F22"/>
    <mergeCell ref="E49:F49"/>
    <mergeCell ref="C46:D46"/>
    <mergeCell ref="C47:D47"/>
    <mergeCell ref="C48:D48"/>
    <mergeCell ref="C24:D24"/>
    <mergeCell ref="C25:D25"/>
    <mergeCell ref="C39:D39"/>
    <mergeCell ref="C40:D40"/>
    <mergeCell ref="C41:D41"/>
    <mergeCell ref="C42:D42"/>
    <mergeCell ref="C38:D38"/>
    <mergeCell ref="E35:F35"/>
    <mergeCell ref="E36:F36"/>
    <mergeCell ref="E37:F37"/>
    <mergeCell ref="E44:F44"/>
    <mergeCell ref="E45:F45"/>
    <mergeCell ref="E46:F46"/>
    <mergeCell ref="E47:F47"/>
    <mergeCell ref="E48:F48"/>
    <mergeCell ref="U80:U81"/>
    <mergeCell ref="V80:V81"/>
    <mergeCell ref="N110:N113"/>
    <mergeCell ref="A114:C114"/>
    <mergeCell ref="C80:D80"/>
    <mergeCell ref="E80:F80"/>
    <mergeCell ref="C81:D81"/>
    <mergeCell ref="E81:F81"/>
    <mergeCell ref="D10:G10"/>
    <mergeCell ref="E24:F24"/>
    <mergeCell ref="E25:F25"/>
    <mergeCell ref="E26:F26"/>
    <mergeCell ref="E27:F27"/>
    <mergeCell ref="E28:F28"/>
    <mergeCell ref="C43:D43"/>
    <mergeCell ref="C44:D44"/>
    <mergeCell ref="C45:D45"/>
    <mergeCell ref="C32:D32"/>
    <mergeCell ref="C33:D33"/>
    <mergeCell ref="C34:D34"/>
    <mergeCell ref="C35:D35"/>
    <mergeCell ref="C36:D36"/>
    <mergeCell ref="C37:D37"/>
    <mergeCell ref="C26:D26"/>
    <mergeCell ref="U21:U22"/>
    <mergeCell ref="V21:V22"/>
    <mergeCell ref="N51:N54"/>
    <mergeCell ref="A55:C55"/>
    <mergeCell ref="D8:F8"/>
    <mergeCell ref="H13:J13"/>
    <mergeCell ref="H14:J14"/>
    <mergeCell ref="A15:J15"/>
    <mergeCell ref="A21:B21"/>
    <mergeCell ref="G21:J21"/>
    <mergeCell ref="P23:P24"/>
    <mergeCell ref="P25:P26"/>
    <mergeCell ref="P22:R22"/>
    <mergeCell ref="K21:K22"/>
    <mergeCell ref="L21:N21"/>
    <mergeCell ref="C27:D27"/>
    <mergeCell ref="C28:D28"/>
    <mergeCell ref="C29:D29"/>
    <mergeCell ref="C30:D30"/>
    <mergeCell ref="C31:D31"/>
    <mergeCell ref="C21:D21"/>
    <mergeCell ref="C22:D22"/>
    <mergeCell ref="C23:D23"/>
    <mergeCell ref="E29:F29"/>
    <mergeCell ref="B115:M115"/>
    <mergeCell ref="B116:M116"/>
    <mergeCell ref="K80:K81"/>
    <mergeCell ref="L80:N80"/>
    <mergeCell ref="E30:F30"/>
    <mergeCell ref="A2:N2"/>
    <mergeCell ref="A4:N4"/>
    <mergeCell ref="D6:E6"/>
    <mergeCell ref="F6:G6"/>
    <mergeCell ref="H6:J6"/>
    <mergeCell ref="K6:L6"/>
    <mergeCell ref="M6:N6"/>
    <mergeCell ref="E82:F82"/>
    <mergeCell ref="E23:F23"/>
    <mergeCell ref="D67:F67"/>
    <mergeCell ref="H72:J72"/>
    <mergeCell ref="H73:J73"/>
    <mergeCell ref="A74:J74"/>
    <mergeCell ref="A80:B80"/>
    <mergeCell ref="G80:J80"/>
    <mergeCell ref="B56:M56"/>
    <mergeCell ref="B57:M57"/>
    <mergeCell ref="E31:F31"/>
    <mergeCell ref="E32:F32"/>
  </mergeCells>
  <conditionalFormatting sqref="N23:N40 N42:N50 N101:N109">
    <cfRule type="expression" priority="52" dxfId="0" stopIfTrue="1">
      <formula>$X22&gt;0</formula>
    </cfRule>
  </conditionalFormatting>
  <conditionalFormatting sqref="D8">
    <cfRule type="cellIs" priority="53" dxfId="2" operator="equal" stopIfTrue="1">
      <formula>""""""</formula>
    </cfRule>
  </conditionalFormatting>
  <conditionalFormatting sqref="N41">
    <cfRule type="expression" priority="54" dxfId="0" stopIfTrue="1">
      <formula>#REF!&gt;0</formula>
    </cfRule>
  </conditionalFormatting>
  <conditionalFormatting sqref="N1 D6 H6 M6 D8 D10 D12:D14 H13:H14 N10 N12 N19">
    <cfRule type="containsBlanks" priority="55" dxfId="7" stopIfTrue="1">
      <formula>LEN(TRIM(D1))=0</formula>
    </cfRule>
  </conditionalFormatting>
  <conditionalFormatting sqref="N82:N99">
    <cfRule type="expression" priority="9" dxfId="0" stopIfTrue="1">
      <formula>$X81&gt;0</formula>
    </cfRule>
  </conditionalFormatting>
  <conditionalFormatting sqref="D67">
    <cfRule type="cellIs" priority="10" dxfId="2" operator="equal" stopIfTrue="1">
      <formula>""""""</formula>
    </cfRule>
  </conditionalFormatting>
  <conditionalFormatting sqref="N100">
    <cfRule type="expression" priority="11" dxfId="0" stopIfTrue="1">
      <formula>#REF!&gt;0</formula>
    </cfRule>
  </conditionalFormatting>
  <conditionalFormatting sqref="D65 H65 M65 D67 D69 D71:D73 H72:H73 N69 N71 N78">
    <cfRule type="containsBlanks" priority="12" dxfId="7" stopIfTrue="1">
      <formula>LEN(TRIM(D65))=0</formula>
    </cfRule>
  </conditionalFormatting>
  <conditionalFormatting sqref="N18">
    <cfRule type="containsBlanks" priority="4" dxfId="7" stopIfTrue="1">
      <formula>LEN(TRIM(N18))=0</formula>
    </cfRule>
  </conditionalFormatting>
  <conditionalFormatting sqref="N77">
    <cfRule type="containsBlanks" priority="3" dxfId="7" stopIfTrue="1">
      <formula>LEN(TRIM(N77))=0</formula>
    </cfRule>
  </conditionalFormatting>
  <conditionalFormatting sqref="N60">
    <cfRule type="containsBlanks" priority="1" dxfId="7" stopIfTrue="1">
      <formula>LEN(TRIM(N60))=0</formula>
    </cfRule>
  </conditionalFormatting>
  <dataValidations count="5">
    <dataValidation type="list" allowBlank="1" showInputMessage="1" showErrorMessage="1" sqref="H23:I49 H82:I108">
      <formula1>$AC$5:$AC$9</formula1>
    </dataValidation>
    <dataValidation type="list" allowBlank="1" showInputMessage="1" showErrorMessage="1" sqref="D8 D67">
      <formula1>$W$5:$W$7</formula1>
    </dataValidation>
    <dataValidation type="list" allowBlank="1" showInputMessage="1" showErrorMessage="1" sqref="D6 D65">
      <formula1>$U$5:$U$8</formula1>
    </dataValidation>
    <dataValidation type="list" allowBlank="1" showInputMessage="1" showErrorMessage="1" sqref="D10 D69">
      <formula1>$Y$5:$Y$8</formula1>
    </dataValidation>
    <dataValidation type="list" allowBlank="1" showInputMessage="1" showErrorMessage="1" sqref="N10 N69">
      <formula1>$AB$5:$AB$6</formula1>
    </dataValidation>
  </dataValidations>
  <printOptions/>
  <pageMargins left="0.7" right="0.7" top="0.75" bottom="0.75" header="0.3" footer="0.3"/>
  <pageSetup horizontalDpi="600" verticalDpi="600" orientation="portrait" scale="60" r:id="rId4"/>
  <rowBreaks count="1" manualBreakCount="1">
    <brk id="58" max="16383" man="1"/>
  </rowBreaks>
  <colBreaks count="1" manualBreakCount="1">
    <brk id="14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workbookViewId="0" topLeftCell="A1">
      <selection activeCell="A17" sqref="A17"/>
    </sheetView>
  </sheetViews>
  <sheetFormatPr defaultColWidth="11.421875" defaultRowHeight="15"/>
  <cols>
    <col min="1" max="1" width="7.28125" style="138" customWidth="1"/>
    <col min="2" max="2" width="8.57421875" style="138" customWidth="1"/>
    <col min="3" max="3" width="8.28125" style="138" customWidth="1"/>
    <col min="4" max="4" width="7.7109375" style="138" customWidth="1"/>
    <col min="5" max="5" width="8.00390625" style="138" customWidth="1"/>
    <col min="6" max="6" width="9.421875" style="138" customWidth="1"/>
    <col min="7" max="7" width="9.00390625" style="138" customWidth="1"/>
    <col min="8" max="9" width="11.421875" style="138" customWidth="1"/>
    <col min="10" max="10" width="8.8515625" style="138" customWidth="1"/>
    <col min="11" max="11" width="6.8515625" style="138" customWidth="1"/>
    <col min="12" max="12" width="10.00390625" style="138" customWidth="1"/>
    <col min="13" max="13" width="12.421875" style="138" customWidth="1"/>
    <col min="14" max="14" width="10.57421875" style="138" customWidth="1"/>
    <col min="15" max="15" width="11.421875" style="138" customWidth="1"/>
    <col min="16" max="17" width="11.8515625" style="138" bestFit="1" customWidth="1"/>
    <col min="18" max="18" width="11.421875" style="138" customWidth="1"/>
    <col min="19" max="27" width="11.421875" style="138" hidden="1" customWidth="1"/>
    <col min="28" max="28" width="11.421875" style="138" customWidth="1"/>
    <col min="29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88"/>
    </row>
    <row r="2" spans="1:14" ht="18">
      <c r="A2" s="298" t="s">
        <v>62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ht="18">
      <c r="A3" s="126"/>
      <c r="B3" s="126"/>
      <c r="C3" s="126"/>
      <c r="D3" s="126"/>
      <c r="E3" s="126"/>
      <c r="F3" s="127" t="s">
        <v>108</v>
      </c>
      <c r="G3" s="126"/>
      <c r="H3" s="126"/>
      <c r="I3" s="126"/>
      <c r="J3" s="126"/>
      <c r="K3" s="126"/>
      <c r="L3" s="126"/>
      <c r="M3" s="126"/>
      <c r="N3" s="126"/>
    </row>
    <row r="4" spans="1:27" ht="15.75">
      <c r="A4" s="246" t="s">
        <v>109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S5" s="138" t="s">
        <v>64</v>
      </c>
      <c r="U5" s="138" t="s">
        <v>82</v>
      </c>
      <c r="W5" s="138" t="s">
        <v>70</v>
      </c>
      <c r="Y5" s="138" t="s">
        <v>73</v>
      </c>
      <c r="Z5" s="138" t="s">
        <v>29</v>
      </c>
      <c r="AA5" s="158">
        <v>4</v>
      </c>
    </row>
    <row r="6" spans="1:27" ht="15.75" thickBot="1">
      <c r="A6" s="25" t="s">
        <v>23</v>
      </c>
      <c r="B6" s="26"/>
      <c r="C6" s="88"/>
      <c r="D6" s="258" t="s">
        <v>64</v>
      </c>
      <c r="E6" s="258"/>
      <c r="F6" s="266" t="s">
        <v>92</v>
      </c>
      <c r="G6" s="267"/>
      <c r="H6" s="299"/>
      <c r="I6" s="300"/>
      <c r="J6" s="301"/>
      <c r="K6" s="268" t="s">
        <v>81</v>
      </c>
      <c r="L6" s="269"/>
      <c r="M6" s="261"/>
      <c r="N6" s="262"/>
      <c r="P6" s="140"/>
      <c r="S6" s="138" t="s">
        <v>65</v>
      </c>
      <c r="U6" s="138" t="s">
        <v>83</v>
      </c>
      <c r="W6" s="138" t="s">
        <v>7</v>
      </c>
      <c r="Y6" s="138" t="s">
        <v>76</v>
      </c>
      <c r="Z6" s="138" t="s">
        <v>78</v>
      </c>
      <c r="AA6" s="139">
        <v>2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U7" s="138" t="s">
        <v>68</v>
      </c>
      <c r="W7" s="138" t="s">
        <v>27</v>
      </c>
      <c r="Y7" s="138" t="s">
        <v>74</v>
      </c>
      <c r="AA7" s="139" t="s">
        <v>0</v>
      </c>
    </row>
    <row r="8" spans="1:27" ht="15.75" thickBot="1">
      <c r="A8" s="25" t="s">
        <v>24</v>
      </c>
      <c r="B8" s="26"/>
      <c r="C8" s="26"/>
      <c r="D8" s="259"/>
      <c r="E8" s="258"/>
      <c r="F8" s="260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1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2</v>
      </c>
    </row>
    <row r="10" spans="1:27" ht="16.5" customHeight="1" thickBot="1">
      <c r="A10" s="30" t="s">
        <v>26</v>
      </c>
      <c r="B10" s="18"/>
      <c r="C10" s="23"/>
      <c r="D10" s="253"/>
      <c r="E10" s="294"/>
      <c r="F10" s="254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41" t="s">
        <v>3</v>
      </c>
    </row>
    <row r="11" spans="1:22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/>
      <c r="L11" s="35"/>
      <c r="M11" s="18"/>
      <c r="N11" s="18"/>
      <c r="S11" s="138" t="s">
        <v>84</v>
      </c>
      <c r="U11" s="138">
        <v>10</v>
      </c>
      <c r="V11" s="138">
        <v>30</v>
      </c>
    </row>
    <row r="12" spans="1:22" ht="15.75" thickBot="1">
      <c r="A12" s="36" t="s">
        <v>71</v>
      </c>
      <c r="B12" s="37"/>
      <c r="C12" s="37"/>
      <c r="D12" s="150"/>
      <c r="E12" s="38"/>
      <c r="F12" s="39"/>
      <c r="G12" s="39"/>
      <c r="H12" s="39"/>
      <c r="I12" s="39"/>
      <c r="J12" s="37"/>
      <c r="K12" s="36"/>
      <c r="L12" s="37"/>
      <c r="M12" s="189" t="s">
        <v>127</v>
      </c>
      <c r="N12" s="161"/>
      <c r="S12" s="138" t="s">
        <v>85</v>
      </c>
      <c r="U12" s="138">
        <v>15</v>
      </c>
      <c r="V12" s="138">
        <v>50</v>
      </c>
    </row>
    <row r="13" spans="1:22" ht="15.75" thickBot="1">
      <c r="A13" s="41" t="s">
        <v>31</v>
      </c>
      <c r="B13" s="21"/>
      <c r="C13" s="21"/>
      <c r="D13" s="150"/>
      <c r="E13" s="21"/>
      <c r="F13" s="28"/>
      <c r="G13" s="42" t="s">
        <v>32</v>
      </c>
      <c r="H13" s="302"/>
      <c r="I13" s="303"/>
      <c r="J13" s="303"/>
      <c r="K13" s="41"/>
      <c r="L13" s="21"/>
      <c r="M13" s="115" t="s">
        <v>30</v>
      </c>
      <c r="N13" s="135"/>
      <c r="S13" s="138" t="s">
        <v>86</v>
      </c>
      <c r="U13" s="138">
        <v>25</v>
      </c>
      <c r="V13" s="138">
        <v>75</v>
      </c>
    </row>
    <row r="14" spans="1:22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49"/>
      <c r="I14" s="250"/>
      <c r="J14" s="250"/>
      <c r="K14" s="41"/>
      <c r="L14" s="21"/>
      <c r="M14" s="115" t="s">
        <v>33</v>
      </c>
      <c r="N14" s="134" t="str">
        <f>IF(N10="","",IF(N10="3F","220 / 127 V","240 / 120 V"))</f>
        <v/>
      </c>
      <c r="S14" s="138" t="s">
        <v>87</v>
      </c>
      <c r="U14" s="138">
        <v>37.5</v>
      </c>
      <c r="V14" s="138">
        <v>100</v>
      </c>
    </row>
    <row r="15" spans="1:14" ht="15.75" thickBot="1">
      <c r="A15" s="304" t="s">
        <v>94</v>
      </c>
      <c r="B15" s="305"/>
      <c r="C15" s="305"/>
      <c r="D15" s="305"/>
      <c r="E15" s="305"/>
      <c r="F15" s="305"/>
      <c r="G15" s="305"/>
      <c r="H15" s="305"/>
      <c r="I15" s="305"/>
      <c r="J15" s="305"/>
      <c r="K15" s="41"/>
      <c r="L15" s="21"/>
      <c r="M15" s="115" t="str">
        <f>+IF(OR(D6="",D12="",D13="",N10=""),"","DEMANDA TOTAL (KVA):")</f>
        <v/>
      </c>
      <c r="N15" s="116" t="str">
        <f>IF(OR(D6="",D12="",D13=""),"",(IF(OR(D6="SAN CRISTOBAL",D6="FLOREANA"),VLOOKUP($D$13,'Estratos SCY - FLO'!A4:M108,IF(D12="A1",2,IF(D12="A",5,IF(D12="B",8,11))),0),VLOOKUP($D$13,'Estratos SCX - ISA'!A3:M107,IF(D12="A1",2,IF(D12="A",5,IF(D12="B",8,11))),0))+D14/900)*1.05)</f>
        <v/>
      </c>
    </row>
    <row r="16" spans="1:22" ht="33.75" customHeight="1" thickBot="1">
      <c r="A16" s="306"/>
      <c r="B16" s="307"/>
      <c r="C16" s="307"/>
      <c r="D16" s="307"/>
      <c r="E16" s="307"/>
      <c r="F16" s="307"/>
      <c r="G16" s="307"/>
      <c r="H16" s="307"/>
      <c r="I16" s="307"/>
      <c r="J16" s="307"/>
      <c r="K16" s="129"/>
      <c r="L16" s="34"/>
      <c r="M16" s="187" t="str">
        <f>+IF(N15="","","POT. NOM. RECOMENDADA TRAFO.(KVA):")</f>
        <v/>
      </c>
      <c r="N16" s="117" t="str">
        <f>IF(N10="","",IF(N10="1F",IF($N$15&lt;$U$11,U11,IF(AND(N15&gt;U11,N15&lt;U12),U12,IF(AND(N15&gt;U12,N15&lt;U13),U13,IF(AND(N15&gt;U13,N15&lt;U14),U14,IF(AND(N15&gt;U14,N15&lt;U16),U16,IF(AND(N15&gt;U16,N15&lt;U17),U17,IF(AND(N15&gt;U17,N15&lt;U18),U18,IF(AND(N15&gt;U18,N15&lt;U19),U19,IF(AND(N15&gt;U19,N15&lt;U20),U20,""))))))))),IF($N$15&lt;$V$11,V11,IF(AND(N15&gt;V11,N15&lt;V12),V12,IF(AND(N15&gt;V12,N15&lt;V13),V13,IF(AND(N15&gt;V13,N15&lt;V14),V14,IF(AND(N15&gt;V14,N15&lt;V16),V16,IF(AND(N15&gt;V16,N15&lt;V17),V17,IF(AND(N15&gt;V17,N15&lt;V18),V18,"")))))))))</f>
        <v/>
      </c>
      <c r="S16" s="138" t="s">
        <v>88</v>
      </c>
      <c r="U16" s="138">
        <v>50</v>
      </c>
      <c r="V16" s="138">
        <v>125</v>
      </c>
    </row>
    <row r="17" spans="1:22" ht="15.75" thickBot="1">
      <c r="A17" s="21"/>
      <c r="B17" s="21"/>
      <c r="C17" s="21"/>
      <c r="D17" s="21"/>
      <c r="E17" s="21"/>
      <c r="F17" s="28"/>
      <c r="G17" s="28"/>
      <c r="H17" s="21"/>
      <c r="I17" s="21"/>
      <c r="J17" s="21"/>
      <c r="K17" s="21"/>
      <c r="L17" s="21"/>
      <c r="M17" s="21"/>
      <c r="N17" s="23"/>
      <c r="S17" s="138" t="s">
        <v>89</v>
      </c>
      <c r="U17" s="138">
        <v>75</v>
      </c>
      <c r="V17" s="138">
        <v>150</v>
      </c>
    </row>
    <row r="18" spans="1:22" ht="18.75">
      <c r="A18" s="46" t="s">
        <v>36</v>
      </c>
      <c r="B18" s="47"/>
      <c r="C18" s="47"/>
      <c r="D18" s="48" t="s">
        <v>114</v>
      </c>
      <c r="E18" s="49"/>
      <c r="F18" s="50"/>
      <c r="G18" s="50"/>
      <c r="H18" s="37"/>
      <c r="I18" s="37"/>
      <c r="J18" s="37"/>
      <c r="K18" s="37"/>
      <c r="L18" s="37"/>
      <c r="M18" s="37"/>
      <c r="N18" s="40"/>
      <c r="S18" s="138" t="s">
        <v>90</v>
      </c>
      <c r="U18" s="138">
        <v>100</v>
      </c>
      <c r="V18" s="138">
        <v>200</v>
      </c>
    </row>
    <row r="19" spans="1:21" ht="15.75" thickBot="1">
      <c r="A19" s="41"/>
      <c r="B19" s="21"/>
      <c r="C19" s="21"/>
      <c r="D19" s="21"/>
      <c r="E19" s="21"/>
      <c r="F19" s="28"/>
      <c r="G19" s="28"/>
      <c r="H19" s="21"/>
      <c r="I19" s="21"/>
      <c r="J19" s="21"/>
      <c r="K19" s="21"/>
      <c r="L19" s="21"/>
      <c r="M19" s="21"/>
      <c r="N19" s="51"/>
      <c r="S19" s="138" t="s">
        <v>91</v>
      </c>
      <c r="U19" s="138">
        <v>112.5</v>
      </c>
    </row>
    <row r="20" spans="1:21" ht="15.75" thickBot="1">
      <c r="A20" s="44"/>
      <c r="B20" s="34"/>
      <c r="C20" s="34"/>
      <c r="D20" s="34"/>
      <c r="E20" s="34"/>
      <c r="F20" s="45"/>
      <c r="G20" s="45"/>
      <c r="H20" s="34"/>
      <c r="I20" s="34"/>
      <c r="J20" s="34"/>
      <c r="K20" s="34"/>
      <c r="L20" s="113" t="s">
        <v>102</v>
      </c>
      <c r="M20" s="142"/>
      <c r="N20" s="153"/>
      <c r="Q20" s="139"/>
      <c r="U20" s="138">
        <v>125</v>
      </c>
    </row>
    <row r="21" spans="1:14" ht="15.75" thickBot="1">
      <c r="A21" s="21"/>
      <c r="B21" s="21"/>
      <c r="C21" s="21"/>
      <c r="D21" s="21"/>
      <c r="E21" s="21"/>
      <c r="F21" s="28"/>
      <c r="G21" s="28"/>
      <c r="H21" s="21"/>
      <c r="I21" s="21"/>
      <c r="J21" s="21"/>
      <c r="K21" s="21"/>
      <c r="L21" s="21"/>
      <c r="M21" s="21"/>
      <c r="N21" s="23"/>
    </row>
    <row r="22" spans="1:20" ht="15.75" thickBot="1">
      <c r="A22" s="257" t="s">
        <v>38</v>
      </c>
      <c r="B22" s="252"/>
      <c r="C22" s="52" t="s">
        <v>39</v>
      </c>
      <c r="D22" s="52" t="s">
        <v>40</v>
      </c>
      <c r="E22" s="53" t="s">
        <v>41</v>
      </c>
      <c r="F22" s="53" t="s">
        <v>42</v>
      </c>
      <c r="G22" s="257" t="s">
        <v>43</v>
      </c>
      <c r="H22" s="251"/>
      <c r="I22" s="251"/>
      <c r="J22" s="252"/>
      <c r="K22" s="255" t="s">
        <v>44</v>
      </c>
      <c r="L22" s="251" t="s">
        <v>45</v>
      </c>
      <c r="M22" s="251"/>
      <c r="N22" s="252"/>
      <c r="S22" s="237" t="s">
        <v>98</v>
      </c>
      <c r="T22" s="237" t="s">
        <v>99</v>
      </c>
    </row>
    <row r="23" spans="1:20" ht="15.75" thickBot="1">
      <c r="A23" s="52" t="s">
        <v>46</v>
      </c>
      <c r="B23" s="52" t="s">
        <v>47</v>
      </c>
      <c r="C23" s="54" t="s">
        <v>48</v>
      </c>
      <c r="D23" s="54" t="s">
        <v>49</v>
      </c>
      <c r="E23" s="55" t="s">
        <v>50</v>
      </c>
      <c r="F23" s="55" t="s">
        <v>51</v>
      </c>
      <c r="G23" s="56" t="s">
        <v>52</v>
      </c>
      <c r="H23" s="43" t="s">
        <v>105</v>
      </c>
      <c r="I23" s="124" t="s">
        <v>106</v>
      </c>
      <c r="J23" s="43" t="s">
        <v>53</v>
      </c>
      <c r="K23" s="256"/>
      <c r="L23" s="53" t="s">
        <v>54</v>
      </c>
      <c r="M23" s="43" t="s">
        <v>55</v>
      </c>
      <c r="N23" s="57" t="s">
        <v>56</v>
      </c>
      <c r="S23" s="237"/>
      <c r="T23" s="237"/>
    </row>
    <row r="24" spans="1:20" ht="15">
      <c r="A24" s="191" t="str">
        <f>+IF(N20="","",N20)</f>
        <v/>
      </c>
      <c r="B24" s="164"/>
      <c r="C24" s="165"/>
      <c r="D24" s="165"/>
      <c r="E24" s="166"/>
      <c r="F24" s="61" t="str">
        <f>IF(OR($D$6="",$D$12=""),"",IF(OR(D24&gt;$D$13,SUM($D$24:$D$50)&gt;$D$13,E24&gt;$D$14,SUM($E$24:$E$50)&gt;$D$14),"Rev. Total. abon/AP.",IF(D24="","",IF(OR($D$6="SAN CRISTOBAL",$D$6="FLOREANA"),VLOOKUP(D24,'Estratos SCY - FLO'!$A$4:$M$108,IF($D$12="A1",2,IF($D$12="A",5,IF($D$12="B",8,11))))+E24/(0.9*1000),VLOOKUP(D24,'Estratos SCX - ISA'!$A$3:$M$107,IF($D$12="A1",2,IF($D$12="A",5,IF($D$12="B",8,11))))+E24/(0.9*1000)))))</f>
        <v/>
      </c>
      <c r="G24" s="95" t="str">
        <f>IF(OR($N$10="",C24=""),"",IF($N$10="1F",1,3))</f>
        <v/>
      </c>
      <c r="H24" s="182"/>
      <c r="I24" s="182"/>
      <c r="J24" s="95" t="str">
        <f>IF(OR(H24="",$D$10="",$N$10=""),"",IF($D$10="COBRE",VLOOKUP(CDV_EXIST_BT!H24,FDV!$B$16:$E$24,IF(CDV_EXIST_BT!$N$10="3F",3,4),FALSE),IF($D$10="ACS",VLOOKUP(CDV_EXIST_BT!H24,FDV!$B$10:$E$15,IF(CDV_EXIST_BT!$N$10="3F",3,4),FALSE),IF($D$10="5005 (PREENSAMBLADO)",VLOOKUP(CDV_EXIST_BT!H24,FDV!$B$4:$E$9,IF(CDV_EXIST_BT!$N$10="3F",3,4),FALSE),VLOOKUP(CDV_EXIST_BT!H24,FDV!$B$25:$E$30,IF(CDV_EXIST_BT!$N$10="3F",3,4),FALSE)))))</f>
        <v/>
      </c>
      <c r="K24" s="60" t="str">
        <f aca="true" t="shared" si="0" ref="K24:K51">IF(C24="","",ROUND(F24*C24,0))</f>
        <v/>
      </c>
      <c r="L24" s="61" t="str">
        <f>IF($N$20="","",IF(C24="","",ROUND(K24/J24,2)))</f>
        <v/>
      </c>
      <c r="M24" s="61" t="str">
        <f>IF(C24="","",VLOOKUP(A24,B24:N51,12,FALSE)+L24)</f>
        <v/>
      </c>
      <c r="N24" s="154"/>
      <c r="S24" s="138">
        <f>+IF(C24="",0,C24)</f>
        <v>0</v>
      </c>
      <c r="T24" s="138">
        <f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>IF(OR($D$6="",$D$12=""),"",IF(OR(D25&gt;$D$13,SUM($D$24:$D$50)&gt;$D$13,E25&gt;$D$14,SUM($E$24:$E$50)&gt;$D$14),"Rev. Total. abon/AP.",IF(D25="","",IF(OR($D$6="SAN CRISTOBAL",$D$6="FLOREANA"),VLOOKUP(D25,'Estratos SCY - FLO'!$A$4:$M$108,IF($D$12="A1",2,IF($D$12="A",5,IF($D$12="B",8,11))))+E25/(0.9*1000),VLOOKUP(D25,'Estratos SCX - ISA'!$A$3:$M$107,IF($D$12="A1",2,IF($D$12="A",5,IF($D$12="B",8,11))))+E25/(0.9*1000)))))</f>
        <v/>
      </c>
      <c r="G25" s="59" t="str">
        <f aca="true" t="shared" si="1" ref="G25:G50">IF(OR($N$10="",C25=""),"",IF($N$10="1F",1,3))</f>
        <v/>
      </c>
      <c r="H25" s="183"/>
      <c r="I25" s="183"/>
      <c r="J25" s="59" t="str">
        <f>IF(OR(H25="",$D$10="",$N$10=""),"",IF($D$10="COBRE",VLOOKUP(CDV_EXIST_BT!H25,FDV!$B$16:$E$24,IF(CDV_EXIST_BT!$N$10="3F",3,4),FALSE),IF($D$10="ACS",VLOOKUP(CDV_EXIST_BT!H25,FDV!$B$10:$E$15,IF(CDV_EXIST_BT!$N$10="3F",3,4),FALSE),IF($D$10="5005 (PREENSAMBLADO)",VLOOKUP(CDV_EXIST_BT!H25,FDV!$B$4:$E$9,IF(CDV_EXIST_BT!$N$10="3F",3,4),FALSE),VLOOKUP(CDV_EXIST_BT!H25,FDV!$B$25:$E$30,IF(CDV_EXIST_BT!$N$10="3F",3,4),FALSE)))))</f>
        <v/>
      </c>
      <c r="K25" s="63" t="str">
        <f t="shared" si="0"/>
        <v/>
      </c>
      <c r="L25" s="62" t="str">
        <f aca="true" t="shared" si="2" ref="L25:L50">IF($N$20="","",IF(C25="","",ROUND(K25/J25,2)))</f>
        <v/>
      </c>
      <c r="M25" s="62" t="str">
        <f>IF(C25="","",VLOOKUP(A25,B24:N51,11,FALSE)+L25)</f>
        <v/>
      </c>
      <c r="N25" s="155"/>
      <c r="S25" s="138">
        <f aca="true" t="shared" si="3" ref="S25:S50">+IF(C25="",0,C25)</f>
        <v>0</v>
      </c>
      <c r="T25" s="138">
        <f aca="true" t="shared" si="4" ref="T25:T51">IF(OR(C25="",G25=""),0,C25*G25)</f>
        <v>0</v>
      </c>
    </row>
    <row r="26" spans="1:20" ht="15">
      <c r="A26" s="167"/>
      <c r="B26" s="168"/>
      <c r="C26" s="169"/>
      <c r="D26" s="169"/>
      <c r="E26" s="170"/>
      <c r="F26" s="58" t="str">
        <f>IF(OR($D$6="",$D$12=""),"",IF(OR(D26&gt;$D$13,SUM($D$24:$D$50)&gt;$D$13,E26&gt;$D$14,SUM($E$24:$E$50)&gt;$D$14),"Rev. Total. abon/AP.",IF(D26="","",IF(OR($D$6="SAN CRISTOBAL",$D$6="FLOREANA"),VLOOKUP(D26,'Estratos SCY - FLO'!$A$4:$M$108,IF($D$12="A1",2,IF($D$12="A",5,IF($D$12="B",8,11))))+E26/(0.9*1000),VLOOKUP(D26,'Estratos SCX - ISA'!$A$3:$M$107,IF($D$12="A1",2,IF($D$12="A",5,IF($D$12="B",8,11))))+E26/(0.9*1000)))))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IF(OR(H26="",$D$10="",$N$10=""),"",IF($D$10="COBRE",VLOOKUP(CDV_EXIST_BT!H26,FDV!$B$16:$E$24,IF(CDV_EXIST_BT!$N$10="3F",3,4),FALSE),IF($D$10="ACS",VLOOKUP(CDV_EXIST_BT!H26,FDV!$B$10:$E$15,IF(CDV_EXIST_BT!$N$10="3F",3,4),FALSE),IF($D$10="5005 (PREENSAMBLADO)",VLOOKUP(CDV_EXIST_BT!H26,FDV!$B$4:$E$9,IF(CDV_EXIST_BT!$N$10="3F",3,4),FALSE),VLOOKUP(CDV_EXIST_BT!H26,FDV!$B$25:$E$30,IF(CDV_EXIST_BT!$N$10="3F",3,4),FALSE)))))</f>
        <v/>
      </c>
      <c r="K26" s="63" t="str">
        <f t="shared" si="0"/>
        <v/>
      </c>
      <c r="L26" s="62" t="str">
        <f t="shared" si="2"/>
        <v/>
      </c>
      <c r="M26" s="62" t="str">
        <f>IF(C26="","",VLOOKUP(A26,B24:N51,11,FALSE)+L26)</f>
        <v/>
      </c>
      <c r="N26" s="155"/>
      <c r="S26" s="138">
        <f t="shared" si="3"/>
        <v>0</v>
      </c>
      <c r="T26" s="138">
        <f t="shared" si="4"/>
        <v>0</v>
      </c>
    </row>
    <row r="27" spans="1:20" ht="15">
      <c r="A27" s="167"/>
      <c r="B27" s="168"/>
      <c r="C27" s="169"/>
      <c r="D27" s="169"/>
      <c r="E27" s="170"/>
      <c r="F27" s="58" t="str">
        <f>IF(OR($D$6="",$D$12=""),"",IF(OR(D27&gt;$D$13,SUM($D$24:$D$50)&gt;$D$13,E27&gt;$D$14,SUM($E$24:$E$50)&gt;$D$14),"Rev. Total. abon/AP.",IF(D27="","",IF(OR($D$6="SAN CRISTOBAL",$D$6="FLOREANA"),VLOOKUP(D27,'Estratos SCY - FLO'!$A$4:$M$108,IF($D$12="A1",2,IF($D$12="A",5,IF($D$12="B",8,11))))+E27/(0.9*1000),VLOOKUP(D27,'Estratos SCX - ISA'!$A$3:$M$107,IF($D$12="A1",2,IF($D$12="A",5,IF($D$12="B",8,11))))+E27/(0.9*1000)))))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IF(OR(H27="",$D$10="",$N$10=""),"",IF($D$10="COBRE",VLOOKUP(CDV_EXIST_BT!H27,FDV!$B$16:$E$24,IF(CDV_EXIST_BT!$N$10="3F",3,4),FALSE),IF($D$10="ACS",VLOOKUP(CDV_EXIST_BT!H27,FDV!$B$10:$E$15,IF(CDV_EXIST_BT!$N$10="3F",3,4),FALSE),IF($D$10="5005 (PREENSAMBLADO)",VLOOKUP(CDV_EXIST_BT!H27,FDV!$B$4:$E$9,IF(CDV_EXIST_BT!$N$10="3F",3,4),FALSE),VLOOKUP(CDV_EXIST_BT!H27,FDV!$B$25:$E$30,IF(CDV_EXIST_BT!$N$10="3F",3,4),FALSE)))))</f>
        <v/>
      </c>
      <c r="K27" s="63" t="str">
        <f t="shared" si="0"/>
        <v/>
      </c>
      <c r="L27" s="62" t="str">
        <f t="shared" si="2"/>
        <v/>
      </c>
      <c r="M27" s="62" t="str">
        <f>IF(C27="","",VLOOKUP(A27,B24:N51,11,FALSE)+L27)</f>
        <v/>
      </c>
      <c r="N27" s="155"/>
      <c r="S27" s="138">
        <f t="shared" si="3"/>
        <v>0</v>
      </c>
      <c r="T27" s="138">
        <f t="shared" si="4"/>
        <v>0</v>
      </c>
    </row>
    <row r="28" spans="1:20" ht="15">
      <c r="A28" s="167"/>
      <c r="B28" s="168"/>
      <c r="C28" s="169"/>
      <c r="D28" s="169"/>
      <c r="E28" s="170"/>
      <c r="F28" s="58" t="str">
        <f>IF(OR($D$6="",$D$12=""),"",IF(OR(D28&gt;$D$13,SUM($D$24:$D$50)&gt;$D$13,E28&gt;$D$14,SUM($E$24:$E$50)&gt;$D$14),"Rev. Total. abon/AP.",IF(D28="","",IF(OR($D$6="SAN CRISTOBAL",$D$6="FLOREANA"),VLOOKUP(D28,'Estratos SCY - FLO'!$A$4:$M$108,IF($D$12="A1",2,IF($D$12="A",5,IF($D$12="B",8,11))))+E28/(0.9*1000),VLOOKUP(D28,'Estratos SCX - ISA'!$A$3:$M$107,IF($D$12="A1",2,IF($D$12="A",5,IF($D$12="B",8,11))))+E28/(0.9*1000)))))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IF(OR(H28="",$D$10="",$N$10=""),"",IF($D$10="COBRE",VLOOKUP(CDV_EXIST_BT!H28,FDV!$B$16:$E$24,IF(CDV_EXIST_BT!$N$10="3F",3,4),FALSE),IF($D$10="ACS",VLOOKUP(CDV_EXIST_BT!H28,FDV!$B$10:$E$15,IF(CDV_EXIST_BT!$N$10="3F",3,4),FALSE),IF($D$10="5005 (PREENSAMBLADO)",VLOOKUP(CDV_EXIST_BT!H28,FDV!$B$4:$E$9,IF(CDV_EXIST_BT!$N$10="3F",3,4),FALSE),VLOOKUP(CDV_EXIST_BT!H28,FDV!$B$25:$E$30,IF(CDV_EXIST_BT!$N$10="3F",3,4),FALSE)))))</f>
        <v/>
      </c>
      <c r="K28" s="63" t="str">
        <f t="shared" si="0"/>
        <v/>
      </c>
      <c r="L28" s="62" t="str">
        <f t="shared" si="2"/>
        <v/>
      </c>
      <c r="M28" s="62" t="str">
        <f>IF(C28="","",VLOOKUP(A28,B24:N51,11,FALSE)+L28)</f>
        <v/>
      </c>
      <c r="N28" s="155"/>
      <c r="S28" s="138">
        <f t="shared" si="3"/>
        <v>0</v>
      </c>
      <c r="T28" s="138">
        <f t="shared" si="4"/>
        <v>0</v>
      </c>
    </row>
    <row r="29" spans="1:20" ht="15">
      <c r="A29" s="167"/>
      <c r="B29" s="168"/>
      <c r="C29" s="169"/>
      <c r="D29" s="169"/>
      <c r="E29" s="170"/>
      <c r="F29" s="58" t="str">
        <f>IF(OR($D$6="",$D$12=""),"",IF(OR(D29&gt;$D$13,SUM($D$24:$D$50)&gt;$D$13,E29&gt;$D$14,SUM($E$24:$E$50)&gt;$D$14),"Rev. Total. abon/AP.",IF(D29="","",IF(OR($D$6="SAN CRISTOBAL",$D$6="FLOREANA"),VLOOKUP(D29,'Estratos SCY - FLO'!$A$4:$M$108,IF($D$12="A1",2,IF($D$12="A",5,IF($D$12="B",8,11))))+E29/(0.9*1000),VLOOKUP(D29,'Estratos SCX - ISA'!$A$3:$M$107,IF($D$12="A1",2,IF($D$12="A",5,IF($D$12="B",8,11))))+E29/(0.9*1000)))))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IF(OR(H29="",$D$10="",$N$10=""),"",IF($D$10="COBRE",VLOOKUP(CDV_EXIST_BT!H29,FDV!$B$16:$E$24,IF(CDV_EXIST_BT!$N$10="3F",3,4),FALSE),IF($D$10="ACS",VLOOKUP(CDV_EXIST_BT!H29,FDV!$B$10:$E$15,IF(CDV_EXIST_BT!$N$10="3F",3,4),FALSE),IF($D$10="5005 (PREENSAMBLADO)",VLOOKUP(CDV_EXIST_BT!H29,FDV!$B$4:$E$9,IF(CDV_EXIST_BT!$N$10="3F",3,4),FALSE),VLOOKUP(CDV_EXIST_BT!H29,FDV!$B$25:$E$30,IF(CDV_EXIST_BT!$N$10="3F",3,4),FALSE)))))</f>
        <v/>
      </c>
      <c r="K29" s="63" t="str">
        <f t="shared" si="0"/>
        <v/>
      </c>
      <c r="L29" s="62" t="str">
        <f t="shared" si="2"/>
        <v/>
      </c>
      <c r="M29" s="62" t="str">
        <f>IF(C29="","",VLOOKUP(A29,B24:N51,11,FALSE)+L29)</f>
        <v/>
      </c>
      <c r="N29" s="155"/>
      <c r="S29" s="138">
        <f t="shared" si="3"/>
        <v>0</v>
      </c>
      <c r="T29" s="138">
        <f t="shared" si="4"/>
        <v>0</v>
      </c>
    </row>
    <row r="30" spans="1:20" ht="15">
      <c r="A30" s="167"/>
      <c r="B30" s="168"/>
      <c r="C30" s="169"/>
      <c r="D30" s="169"/>
      <c r="E30" s="170"/>
      <c r="F30" s="58" t="str">
        <f>IF(OR($D$6="",$D$12=""),"",IF(OR(D30&gt;$D$13,SUM($D$24:$D$50)&gt;$D$13,E30&gt;$D$14,SUM($E$24:$E$50)&gt;$D$14),"Rev. Total. abon/AP.",IF(D30="","",IF(OR($D$6="SAN CRISTOBAL",$D$6="FLOREANA"),VLOOKUP(D30,'Estratos SCY - FLO'!$A$4:$M$108,IF($D$12="A1",2,IF($D$12="A",5,IF($D$12="B",8,11))))+E30/(0.9*1000),VLOOKUP(D30,'Estratos SCX - ISA'!$A$3:$M$107,IF($D$12="A1",2,IF($D$12="A",5,IF($D$12="B",8,11))))+E30/(0.9*1000)))))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IF(OR(H30="",$D$10="",$N$10=""),"",IF($D$10="COBRE",VLOOKUP(CDV_EXIST_BT!H30,FDV!$B$16:$E$24,IF(CDV_EXIST_BT!$N$10="3F",3,4),FALSE),IF($D$10="ACS",VLOOKUP(CDV_EXIST_BT!H30,FDV!$B$10:$E$15,IF(CDV_EXIST_BT!$N$10="3F",3,4),FALSE),IF($D$10="5005 (PREENSAMBLADO)",VLOOKUP(CDV_EXIST_BT!H30,FDV!$B$4:$E$9,IF(CDV_EXIST_BT!$N$10="3F",3,4),FALSE),VLOOKUP(CDV_EXIST_BT!H30,FDV!$B$25:$E$30,IF(CDV_EXIST_BT!$N$10="3F",3,4),FALSE)))))</f>
        <v/>
      </c>
      <c r="K30" s="63" t="str">
        <f t="shared" si="0"/>
        <v/>
      </c>
      <c r="L30" s="62" t="str">
        <f t="shared" si="2"/>
        <v/>
      </c>
      <c r="M30" s="62" t="str">
        <f>IF(C30="","",VLOOKUP(A30,B24:N51,11,FALSE)+L30)</f>
        <v/>
      </c>
      <c r="N30" s="155"/>
      <c r="S30" s="138">
        <f t="shared" si="3"/>
        <v>0</v>
      </c>
      <c r="T30" s="138">
        <f t="shared" si="4"/>
        <v>0</v>
      </c>
    </row>
    <row r="31" spans="1:20" ht="15">
      <c r="A31" s="167"/>
      <c r="B31" s="168"/>
      <c r="C31" s="169"/>
      <c r="D31" s="169"/>
      <c r="E31" s="170"/>
      <c r="F31" s="58" t="str">
        <f>IF(OR($D$6="",$D$12=""),"",IF(OR(D31&gt;$D$13,SUM($D$24:$D$50)&gt;$D$13,E31&gt;$D$14,SUM($E$24:$E$50)&gt;$D$14),"Rev. Total. abon/AP.",IF(D31="","",IF(OR($D$6="SAN CRISTOBAL",$D$6="FLOREANA"),VLOOKUP(D31,'Estratos SCY - FLO'!$A$4:$M$108,IF($D$12="A1",2,IF($D$12="A",5,IF($D$12="B",8,11))))+E31/(0.9*1000),VLOOKUP(D31,'Estratos SCX - ISA'!$A$3:$M$107,IF($D$12="A1",2,IF($D$12="A",5,IF($D$12="B",8,11))))+E31/(0.9*1000)))))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IF(OR(H31="",$D$10="",$N$10=""),"",IF($D$10="COBRE",VLOOKUP(CDV_EXIST_BT!H31,FDV!$B$16:$E$24,IF(CDV_EXIST_BT!$N$10="3F",3,4),FALSE),IF($D$10="ACS",VLOOKUP(CDV_EXIST_BT!H31,FDV!$B$10:$E$15,IF(CDV_EXIST_BT!$N$10="3F",3,4),FALSE),IF($D$10="5005 (PREENSAMBLADO)",VLOOKUP(CDV_EXIST_BT!H31,FDV!$B$4:$E$9,IF(CDV_EXIST_BT!$N$10="3F",3,4),FALSE),VLOOKUP(CDV_EXIST_BT!H31,FDV!$B$25:$E$30,IF(CDV_EXIST_BT!$N$10="3F",3,4),FALSE)))))</f>
        <v/>
      </c>
      <c r="K31" s="63" t="str">
        <f t="shared" si="0"/>
        <v/>
      </c>
      <c r="L31" s="62" t="str">
        <f t="shared" si="2"/>
        <v/>
      </c>
      <c r="M31" s="62" t="str">
        <f>IF(C31="","",VLOOKUP(A31,B24:N51,11,FALSE)+L31)</f>
        <v/>
      </c>
      <c r="N31" s="155"/>
      <c r="S31" s="138">
        <f t="shared" si="3"/>
        <v>0</v>
      </c>
      <c r="T31" s="138">
        <f t="shared" si="4"/>
        <v>0</v>
      </c>
    </row>
    <row r="32" spans="1:20" ht="15">
      <c r="A32" s="171"/>
      <c r="B32" s="172"/>
      <c r="C32" s="173"/>
      <c r="D32" s="173"/>
      <c r="E32" s="170"/>
      <c r="F32" s="58" t="str">
        <f>IF(OR($D$6="",$D$12=""),"",IF(OR(D32&gt;$D$13,SUM($D$24:$D$50)&gt;$D$13,E32&gt;$D$14,SUM($E$24:$E$50)&gt;$D$14),"Rev. Total. abon/AP.",IF(D32="","",IF(OR($D$6="SAN CRISTOBAL",$D$6="FLOREANA"),VLOOKUP(D32,'Estratos SCY - FLO'!$A$4:$M$108,IF($D$12="A1",2,IF($D$12="A",5,IF($D$12="B",8,11))))+E32/(0.9*1000),VLOOKUP(D32,'Estratos SCX - ISA'!$A$3:$M$107,IF($D$12="A1",2,IF($D$12="A",5,IF($D$12="B",8,11))))+E32/(0.9*1000)))))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IF(OR(H32="",$D$10="",$N$10=""),"",IF($D$10="COBRE",VLOOKUP(CDV_EXIST_BT!H32,FDV!$B$16:$E$24,IF(CDV_EXIST_BT!$N$10="3F",3,4),FALSE),IF($D$10="ACS",VLOOKUP(CDV_EXIST_BT!H32,FDV!$B$10:$E$15,IF(CDV_EXIST_BT!$N$10="3F",3,4),FALSE),IF($D$10="5005 (PREENSAMBLADO)",VLOOKUP(CDV_EXIST_BT!H32,FDV!$B$4:$E$9,IF(CDV_EXIST_BT!$N$10="3F",3,4),FALSE),VLOOKUP(CDV_EXIST_BT!H32,FDV!$B$25:$E$30,IF(CDV_EXIST_BT!$N$10="3F",3,4),FALSE)))))</f>
        <v/>
      </c>
      <c r="K32" s="63" t="str">
        <f t="shared" si="0"/>
        <v/>
      </c>
      <c r="L32" s="62" t="str">
        <f t="shared" si="2"/>
        <v/>
      </c>
      <c r="M32" s="62" t="str">
        <f>IF(C32="","",VLOOKUP(A32,B24:N51,11,FALSE)+L32)</f>
        <v/>
      </c>
      <c r="N32" s="155"/>
      <c r="S32" s="138">
        <f t="shared" si="3"/>
        <v>0</v>
      </c>
      <c r="T32" s="138">
        <f t="shared" si="4"/>
        <v>0</v>
      </c>
    </row>
    <row r="33" spans="1:20" ht="15">
      <c r="A33" s="167"/>
      <c r="B33" s="168"/>
      <c r="C33" s="169"/>
      <c r="D33" s="169"/>
      <c r="E33" s="174"/>
      <c r="F33" s="58" t="str">
        <f>IF(OR($D$6="",$D$12=""),"",IF(OR(D33&gt;$D$13,SUM($D$24:$D$50)&gt;$D$13,E33&gt;$D$14,SUM($E$24:$E$50)&gt;$D$14),"Rev. Total. abon/AP.",IF(D33="","",IF(OR($D$6="SAN CRISTOBAL",$D$6="FLOREANA"),VLOOKUP(D33,'Estratos SCY - FLO'!$A$4:$M$108,IF($D$12="A1",2,IF($D$12="A",5,IF($D$12="B",8,11))))+E33/(0.9*1000),VLOOKUP(D33,'Estratos SCX - ISA'!$A$3:$M$107,IF($D$12="A1",2,IF($D$12="A",5,IF($D$12="B",8,11))))+E33/(0.9*1000)))))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IF(OR(H33="",$D$10="",$N$10=""),"",IF($D$10="COBRE",VLOOKUP(CDV_EXIST_BT!H33,FDV!$B$16:$E$24,IF(CDV_EXIST_BT!$N$10="3F",3,4),FALSE),IF($D$10="ACS",VLOOKUP(CDV_EXIST_BT!H33,FDV!$B$10:$E$15,IF(CDV_EXIST_BT!$N$10="3F",3,4),FALSE),IF($D$10="5005 (PREENSAMBLADO)",VLOOKUP(CDV_EXIST_BT!H33,FDV!$B$4:$E$9,IF(CDV_EXIST_BT!$N$10="3F",3,4),FALSE),VLOOKUP(CDV_EXIST_BT!H33,FDV!$B$25:$E$30,IF(CDV_EXIST_BT!$N$10="3F",3,4),FALSE)))))</f>
        <v/>
      </c>
      <c r="K33" s="63" t="str">
        <f t="shared" si="0"/>
        <v/>
      </c>
      <c r="L33" s="62" t="str">
        <f t="shared" si="2"/>
        <v/>
      </c>
      <c r="M33" s="62" t="str">
        <f>IF(C33="","",VLOOKUP(A33,B24:N51,11,FALSE)+L33)</f>
        <v/>
      </c>
      <c r="N33" s="155"/>
      <c r="S33" s="138">
        <f t="shared" si="3"/>
        <v>0</v>
      </c>
      <c r="T33" s="138">
        <f t="shared" si="4"/>
        <v>0</v>
      </c>
    </row>
    <row r="34" spans="1:20" ht="15">
      <c r="A34" s="175"/>
      <c r="B34" s="176"/>
      <c r="C34" s="177"/>
      <c r="D34" s="177"/>
      <c r="E34" s="170"/>
      <c r="F34" s="58" t="str">
        <f>IF(OR($D$6="",$D$12=""),"",IF(OR(D34&gt;$D$13,SUM($D$24:$D$50)&gt;$D$13,E34&gt;$D$14,SUM($E$24:$E$50)&gt;$D$14),"Rev. Total. abon/AP.",IF(D34="","",IF(OR($D$6="SAN CRISTOBAL",$D$6="FLOREANA"),VLOOKUP(D34,'Estratos SCY - FLO'!$A$4:$M$108,IF($D$12="A1",2,IF($D$12="A",5,IF($D$12="B",8,11))))+E34/(0.9*1000),VLOOKUP(D34,'Estratos SCX - ISA'!$A$3:$M$107,IF($D$12="A1",2,IF($D$12="A",5,IF($D$12="B",8,11))))+E34/(0.9*1000)))))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IF(OR(H34="",$D$10="",$N$10=""),"",IF($D$10="COBRE",VLOOKUP(CDV_EXIST_BT!H34,FDV!$B$16:$E$24,IF(CDV_EXIST_BT!$N$10="3F",3,4),FALSE),IF($D$10="ACS",VLOOKUP(CDV_EXIST_BT!H34,FDV!$B$10:$E$15,IF(CDV_EXIST_BT!$N$10="3F",3,4),FALSE),IF($D$10="5005 (PREENSAMBLADO)",VLOOKUP(CDV_EXIST_BT!H34,FDV!$B$4:$E$9,IF(CDV_EXIST_BT!$N$10="3F",3,4),FALSE),VLOOKUP(CDV_EXIST_BT!H34,FDV!$B$25:$E$30,IF(CDV_EXIST_BT!$N$10="3F",3,4),FALSE)))))</f>
        <v/>
      </c>
      <c r="K34" s="63" t="str">
        <f t="shared" si="0"/>
        <v/>
      </c>
      <c r="L34" s="62" t="str">
        <f t="shared" si="2"/>
        <v/>
      </c>
      <c r="M34" s="62" t="str">
        <f>IF(C34="","",VLOOKUP(A34,B24:N51,11,FALSE)+L34)</f>
        <v/>
      </c>
      <c r="N34" s="155"/>
      <c r="S34" s="138">
        <f t="shared" si="3"/>
        <v>0</v>
      </c>
      <c r="T34" s="138">
        <f t="shared" si="4"/>
        <v>0</v>
      </c>
    </row>
    <row r="35" spans="1:20" ht="15">
      <c r="A35" s="167"/>
      <c r="B35" s="168"/>
      <c r="C35" s="169"/>
      <c r="D35" s="169"/>
      <c r="E35" s="170"/>
      <c r="F35" s="58" t="str">
        <f>IF(OR($D$6="",$D$12=""),"",IF(OR(D35&gt;$D$13,SUM($D$24:$D$50)&gt;$D$13,E35&gt;$D$14,SUM($E$24:$E$50)&gt;$D$14),"Rev. Total. abon/AP.",IF(D35="","",IF(OR($D$6="SAN CRISTOBAL",$D$6="FLOREANA"),VLOOKUP(D35,'Estratos SCY - FLO'!$A$4:$M$108,IF($D$12="A1",2,IF($D$12="A",5,IF($D$12="B",8,11))))+E35/(0.9*1000),VLOOKUP(D35,'Estratos SCX - ISA'!$A$3:$M$107,IF($D$12="A1",2,IF($D$12="A",5,IF($D$12="B",8,11))))+E35/(0.9*1000)))))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IF(OR(H35="",$D$10="",$N$10=""),"",IF($D$10="COBRE",VLOOKUP(CDV_EXIST_BT!H35,FDV!$B$16:$E$24,IF(CDV_EXIST_BT!$N$10="3F",3,4),FALSE),IF($D$10="ACS",VLOOKUP(CDV_EXIST_BT!H35,FDV!$B$10:$E$15,IF(CDV_EXIST_BT!$N$10="3F",3,4),FALSE),IF($D$10="5005 (PREENSAMBLADO)",VLOOKUP(CDV_EXIST_BT!H35,FDV!$B$4:$E$9,IF(CDV_EXIST_BT!$N$10="3F",3,4),FALSE),VLOOKUP(CDV_EXIST_BT!H35,FDV!$B$25:$E$30,IF(CDV_EXIST_BT!$N$10="3F",3,4),FALSE)))))</f>
        <v/>
      </c>
      <c r="K35" s="63" t="str">
        <f t="shared" si="0"/>
        <v/>
      </c>
      <c r="L35" s="62" t="str">
        <f t="shared" si="2"/>
        <v/>
      </c>
      <c r="M35" s="62" t="str">
        <f>IF(C35="","",VLOOKUP(A35,B24:N51,11,FALSE)+L35)</f>
        <v/>
      </c>
      <c r="N35" s="155"/>
      <c r="S35" s="138">
        <f t="shared" si="3"/>
        <v>0</v>
      </c>
      <c r="T35" s="138">
        <f t="shared" si="4"/>
        <v>0</v>
      </c>
    </row>
    <row r="36" spans="1:20" ht="15">
      <c r="A36" s="167"/>
      <c r="B36" s="168"/>
      <c r="C36" s="169"/>
      <c r="D36" s="169"/>
      <c r="E36" s="170"/>
      <c r="F36" s="58" t="str">
        <f>IF(OR($D$6="",$D$12=""),"",IF(OR(D36&gt;$D$13,SUM($D$24:$D$50)&gt;$D$13,E36&gt;$D$14,SUM($E$24:$E$50)&gt;$D$14),"Rev. Total. abon/AP.",IF(D36="","",IF(OR($D$6="SAN CRISTOBAL",$D$6="FLOREANA"),VLOOKUP(D36,'Estratos SCY - FLO'!$A$4:$M$108,IF($D$12="A1",2,IF($D$12="A",5,IF($D$12="B",8,11))))+E36/(0.9*1000),VLOOKUP(D36,'Estratos SCX - ISA'!$A$3:$M$107,IF($D$12="A1",2,IF($D$12="A",5,IF($D$12="B",8,11))))+E36/(0.9*1000)))))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IF(OR(H36="",$D$10="",$N$10=""),"",IF($D$10="COBRE",VLOOKUP(CDV_EXIST_BT!H36,FDV!$B$16:$E$24,IF(CDV_EXIST_BT!$N$10="3F",3,4),FALSE),IF($D$10="ACS",VLOOKUP(CDV_EXIST_BT!H36,FDV!$B$10:$E$15,IF(CDV_EXIST_BT!$N$10="3F",3,4),FALSE),IF($D$10="5005 (PREENSAMBLADO)",VLOOKUP(CDV_EXIST_BT!H36,FDV!$B$4:$E$9,IF(CDV_EXIST_BT!$N$10="3F",3,4),FALSE),VLOOKUP(CDV_EXIST_BT!H36,FDV!$B$25:$E$30,IF(CDV_EXIST_BT!$N$10="3F",3,4),FALSE)))))</f>
        <v/>
      </c>
      <c r="K36" s="63" t="str">
        <f t="shared" si="0"/>
        <v/>
      </c>
      <c r="L36" s="62" t="str">
        <f t="shared" si="2"/>
        <v/>
      </c>
      <c r="M36" s="62" t="str">
        <f>IF(C36="","",VLOOKUP(A36,B24:N51,11,FALSE)+L36)</f>
        <v/>
      </c>
      <c r="N36" s="155"/>
      <c r="S36" s="138">
        <f t="shared" si="3"/>
        <v>0</v>
      </c>
      <c r="T36" s="138">
        <f t="shared" si="4"/>
        <v>0</v>
      </c>
    </row>
    <row r="37" spans="1:20" ht="15">
      <c r="A37" s="167"/>
      <c r="B37" s="168"/>
      <c r="C37" s="169"/>
      <c r="D37" s="169"/>
      <c r="E37" s="170"/>
      <c r="F37" s="58" t="str">
        <f>IF(OR($D$6="",$D$12=""),"",IF(OR(D37&gt;$D$13,SUM($D$24:$D$50)&gt;$D$13,E37&gt;$D$14,SUM($E$24:$E$50)&gt;$D$14),"Rev. Total. abon/AP.",IF(D37="","",IF(OR($D$6="SAN CRISTOBAL",$D$6="FLOREANA"),VLOOKUP(D37,'Estratos SCY - FLO'!$A$4:$M$108,IF($D$12="A1",2,IF($D$12="A",5,IF($D$12="B",8,11))))+E37/(0.9*1000),VLOOKUP(D37,'Estratos SCX - ISA'!$A$3:$M$107,IF($D$12="A1",2,IF($D$12="A",5,IF($D$12="B",8,11))))+E37/(0.9*1000)))))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IF(OR(H37="",$D$10="",$N$10=""),"",IF($D$10="COBRE",VLOOKUP(CDV_EXIST_BT!H37,FDV!$B$16:$E$24,IF(CDV_EXIST_BT!$N$10="3F",3,4),FALSE),IF($D$10="ACS",VLOOKUP(CDV_EXIST_BT!H37,FDV!$B$10:$E$15,IF(CDV_EXIST_BT!$N$10="3F",3,4),FALSE),IF($D$10="5005 (PREENSAMBLADO)",VLOOKUP(CDV_EXIST_BT!H37,FDV!$B$4:$E$9,IF(CDV_EXIST_BT!$N$10="3F",3,4),FALSE),VLOOKUP(CDV_EXIST_BT!H37,FDV!$B$25:$E$30,IF(CDV_EXIST_BT!$N$10="3F",3,4),FALSE)))))</f>
        <v/>
      </c>
      <c r="K37" s="63" t="str">
        <f t="shared" si="0"/>
        <v/>
      </c>
      <c r="L37" s="62" t="str">
        <f t="shared" si="2"/>
        <v/>
      </c>
      <c r="M37" s="62" t="str">
        <f>IF(C37="","",VLOOKUP(A37,B24:N51,11,FALSE)+L37)</f>
        <v/>
      </c>
      <c r="N37" s="155"/>
      <c r="S37" s="138">
        <f t="shared" si="3"/>
        <v>0</v>
      </c>
      <c r="T37" s="138">
        <f t="shared" si="4"/>
        <v>0</v>
      </c>
    </row>
    <row r="38" spans="1:20" ht="15">
      <c r="A38" s="167"/>
      <c r="B38" s="168"/>
      <c r="C38" s="169"/>
      <c r="D38" s="169"/>
      <c r="E38" s="170"/>
      <c r="F38" s="58" t="str">
        <f>IF(OR($D$6="",$D$12=""),"",IF(OR(D38&gt;$D$13,SUM($D$24:$D$50)&gt;$D$13,E38&gt;$D$14,SUM($E$24:$E$50)&gt;$D$14),"Rev. Total. abon/AP.",IF(D38="","",IF(OR($D$6="SAN CRISTOBAL",$D$6="FLOREANA"),VLOOKUP(D38,'Estratos SCY - FLO'!$A$4:$M$108,IF($D$12="A1",2,IF($D$12="A",5,IF($D$12="B",8,11))))+E38/(0.9*1000),VLOOKUP(D38,'Estratos SCX - ISA'!$A$3:$M$107,IF($D$12="A1",2,IF($D$12="A",5,IF($D$12="B",8,11))))+E38/(0.9*1000)))))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IF(OR(H38="",$D$10="",$N$10=""),"",IF($D$10="COBRE",VLOOKUP(CDV_EXIST_BT!H38,FDV!$B$16:$E$24,IF(CDV_EXIST_BT!$N$10="3F",3,4),FALSE),IF($D$10="ACS",VLOOKUP(CDV_EXIST_BT!H38,FDV!$B$10:$E$15,IF(CDV_EXIST_BT!$N$10="3F",3,4),FALSE),IF($D$10="5005 (PREENSAMBLADO)",VLOOKUP(CDV_EXIST_BT!H38,FDV!$B$4:$E$9,IF(CDV_EXIST_BT!$N$10="3F",3,4),FALSE),VLOOKUP(CDV_EXIST_BT!H38,FDV!$B$25:$E$30,IF(CDV_EXIST_BT!$N$10="3F",3,4),FALSE)))))</f>
        <v/>
      </c>
      <c r="K38" s="63" t="str">
        <f t="shared" si="0"/>
        <v/>
      </c>
      <c r="L38" s="62" t="str">
        <f t="shared" si="2"/>
        <v/>
      </c>
      <c r="M38" s="62" t="str">
        <f>IF(C38="","",VLOOKUP(A38,B24:N51,11,FALSE)+L38)</f>
        <v/>
      </c>
      <c r="N38" s="155"/>
      <c r="S38" s="138">
        <f t="shared" si="3"/>
        <v>0</v>
      </c>
      <c r="T38" s="138">
        <f t="shared" si="4"/>
        <v>0</v>
      </c>
    </row>
    <row r="39" spans="1:20" ht="15">
      <c r="A39" s="167"/>
      <c r="B39" s="168"/>
      <c r="C39" s="169"/>
      <c r="D39" s="169"/>
      <c r="E39" s="170"/>
      <c r="F39" s="58" t="str">
        <f>IF(OR($D$6="",$D$12=""),"",IF(OR(D39&gt;$D$13,SUM($D$24:$D$50)&gt;$D$13,E39&gt;$D$14,SUM($E$24:$E$50)&gt;$D$14),"Rev. Total. abon/AP.",IF(D39="","",IF(OR($D$6="SAN CRISTOBAL",$D$6="FLOREANA"),VLOOKUP(D39,'Estratos SCY - FLO'!$A$4:$M$108,IF($D$12="A1",2,IF($D$12="A",5,IF($D$12="B",8,11))))+E39/(0.9*1000),VLOOKUP(D39,'Estratos SCX - ISA'!$A$3:$M$107,IF($D$12="A1",2,IF($D$12="A",5,IF($D$12="B",8,11))))+E39/(0.9*1000)))))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IF(OR(H39="",$D$10="",$N$10=""),"",IF($D$10="COBRE",VLOOKUP(CDV_EXIST_BT!H39,FDV!$B$16:$E$24,IF(CDV_EXIST_BT!$N$10="3F",3,4),FALSE),IF($D$10="ACS",VLOOKUP(CDV_EXIST_BT!H39,FDV!$B$10:$E$15,IF(CDV_EXIST_BT!$N$10="3F",3,4),FALSE),IF($D$10="5005 (PREENSAMBLADO)",VLOOKUP(CDV_EXIST_BT!H39,FDV!$B$4:$E$9,IF(CDV_EXIST_BT!$N$10="3F",3,4),FALSE),VLOOKUP(CDV_EXIST_BT!H39,FDV!$B$25:$E$30,IF(CDV_EXIST_BT!$N$10="3F",3,4),FALSE)))))</f>
        <v/>
      </c>
      <c r="K39" s="63" t="str">
        <f t="shared" si="0"/>
        <v/>
      </c>
      <c r="L39" s="62" t="str">
        <f t="shared" si="2"/>
        <v/>
      </c>
      <c r="M39" s="62" t="str">
        <f>IF(C39="","",VLOOKUP(A39,B24:N51,11,FALSE)+L39)</f>
        <v/>
      </c>
      <c r="N39" s="155"/>
      <c r="S39" s="138">
        <f t="shared" si="3"/>
        <v>0</v>
      </c>
      <c r="T39" s="138">
        <f t="shared" si="4"/>
        <v>0</v>
      </c>
    </row>
    <row r="40" spans="1:20" ht="15">
      <c r="A40" s="167"/>
      <c r="B40" s="168"/>
      <c r="C40" s="169"/>
      <c r="D40" s="169"/>
      <c r="E40" s="170"/>
      <c r="F40" s="58" t="str">
        <f>IF(OR($D$6="",$D$12=""),"",IF(OR(D40&gt;$D$13,SUM($D$24:$D$50)&gt;$D$13,E40&gt;$D$14,SUM($E$24:$E$50)&gt;$D$14),"Rev. Total. abon/AP.",IF(D40="","",IF(OR($D$6="SAN CRISTOBAL",$D$6="FLOREANA"),VLOOKUP(D40,'Estratos SCY - FLO'!$A$4:$M$108,IF($D$12="A1",2,IF($D$12="A",5,IF($D$12="B",8,11))))+E40/(0.9*1000),VLOOKUP(D40,'Estratos SCX - ISA'!$A$3:$M$107,IF($D$12="A1",2,IF($D$12="A",5,IF($D$12="B",8,11))))+E40/(0.9*1000)))))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IF(OR(H40="",$D$10="",$N$10=""),"",IF($D$10="COBRE",VLOOKUP(CDV_EXIST_BT!H40,FDV!$B$16:$E$24,IF(CDV_EXIST_BT!$N$10="3F",3,4),FALSE),IF($D$10="ACS",VLOOKUP(CDV_EXIST_BT!H40,FDV!$B$10:$E$15,IF(CDV_EXIST_BT!$N$10="3F",3,4),FALSE),IF($D$10="5005 (PREENSAMBLADO)",VLOOKUP(CDV_EXIST_BT!H40,FDV!$B$4:$E$9,IF(CDV_EXIST_BT!$N$10="3F",3,4),FALSE),VLOOKUP(CDV_EXIST_BT!H40,FDV!$B$25:$E$30,IF(CDV_EXIST_BT!$N$10="3F",3,4),FALSE)))))</f>
        <v/>
      </c>
      <c r="K40" s="63" t="str">
        <f t="shared" si="0"/>
        <v/>
      </c>
      <c r="L40" s="62" t="str">
        <f t="shared" si="2"/>
        <v/>
      </c>
      <c r="M40" s="62" t="str">
        <f>IF(C40="","",VLOOKUP(A40,B24:N51,11,FALSE)+L40)</f>
        <v/>
      </c>
      <c r="N40" s="155"/>
      <c r="S40" s="138">
        <f t="shared" si="3"/>
        <v>0</v>
      </c>
      <c r="T40" s="138">
        <f t="shared" si="4"/>
        <v>0</v>
      </c>
    </row>
    <row r="41" spans="1:20" ht="15">
      <c r="A41" s="167"/>
      <c r="B41" s="168"/>
      <c r="C41" s="169"/>
      <c r="D41" s="169"/>
      <c r="E41" s="170"/>
      <c r="F41" s="58" t="str">
        <f>IF(OR($D$6="",$D$12=""),"",IF(OR(D41&gt;$D$13,SUM($D$24:$D$50)&gt;$D$13,E41&gt;$D$14,SUM($E$24:$E$50)&gt;$D$14),"Rev. Total. abon/AP.",IF(D41="","",IF(OR($D$6="SAN CRISTOBAL",$D$6="FLOREANA"),VLOOKUP(D41,'Estratos SCY - FLO'!$A$4:$M$108,IF($D$12="A1",2,IF($D$12="A",5,IF($D$12="B",8,11))))+E41/(0.9*1000),VLOOKUP(D41,'Estratos SCX - ISA'!$A$3:$M$107,IF($D$12="A1",2,IF($D$12="A",5,IF($D$12="B",8,11))))+E41/(0.9*1000)))))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IF(OR(H41="",$D$10="",$N$10=""),"",IF($D$10="COBRE",VLOOKUP(CDV_EXIST_BT!H41,FDV!$B$16:$E$24,IF(CDV_EXIST_BT!$N$10="3F",3,4),FALSE),IF($D$10="ACS",VLOOKUP(CDV_EXIST_BT!H41,FDV!$B$10:$E$15,IF(CDV_EXIST_BT!$N$10="3F",3,4),FALSE),IF($D$10="5005 (PREENSAMBLADO)",VLOOKUP(CDV_EXIST_BT!H41,FDV!$B$4:$E$9,IF(CDV_EXIST_BT!$N$10="3F",3,4),FALSE),VLOOKUP(CDV_EXIST_BT!H41,FDV!$B$25:$E$30,IF(CDV_EXIST_BT!$N$10="3F",3,4),FALSE)))))</f>
        <v/>
      </c>
      <c r="K41" s="63" t="str">
        <f t="shared" si="0"/>
        <v/>
      </c>
      <c r="L41" s="62" t="str">
        <f t="shared" si="2"/>
        <v/>
      </c>
      <c r="M41" s="62" t="str">
        <f>IF(C41="","",VLOOKUP(A41,B24:N51,11,FALSE)+L41)</f>
        <v/>
      </c>
      <c r="N41" s="155"/>
      <c r="S41" s="138">
        <f t="shared" si="3"/>
        <v>0</v>
      </c>
      <c r="T41" s="138">
        <f t="shared" si="4"/>
        <v>0</v>
      </c>
    </row>
    <row r="42" spans="1:20" ht="15">
      <c r="A42" s="167"/>
      <c r="B42" s="168"/>
      <c r="C42" s="169"/>
      <c r="D42" s="169"/>
      <c r="E42" s="170"/>
      <c r="F42" s="58" t="str">
        <f>IF(OR($D$6="",$D$12=""),"",IF(OR(D42&gt;$D$13,SUM($D$24:$D$50)&gt;$D$13,E42&gt;$D$14,SUM($E$24:$E$50)&gt;$D$14),"Rev. Total. abon/AP.",IF(D42="","",IF(OR($D$6="SAN CRISTOBAL",$D$6="FLOREANA"),VLOOKUP(D42,'Estratos SCY - FLO'!$A$4:$M$108,IF($D$12="A1",2,IF($D$12="A",5,IF($D$12="B",8,11))))+E42/(0.9*1000),VLOOKUP(D42,'Estratos SCX - ISA'!$A$3:$M$107,IF($D$12="A1",2,IF($D$12="A",5,IF($D$12="B",8,11))))+E42/(0.9*1000)))))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IF(OR(H42="",$D$10="",$N$10=""),"",IF($D$10="COBRE",VLOOKUP(CDV_EXIST_BT!H42,FDV!$B$16:$E$24,IF(CDV_EXIST_BT!$N$10="3F",3,4),FALSE),IF($D$10="ACS",VLOOKUP(CDV_EXIST_BT!H42,FDV!$B$10:$E$15,IF(CDV_EXIST_BT!$N$10="3F",3,4),FALSE),IF($D$10="5005 (PREENSAMBLADO)",VLOOKUP(CDV_EXIST_BT!H42,FDV!$B$4:$E$9,IF(CDV_EXIST_BT!$N$10="3F",3,4),FALSE),VLOOKUP(CDV_EXIST_BT!H42,FDV!$B$25:$E$30,IF(CDV_EXIST_BT!$N$10="3F",3,4),FALSE)))))</f>
        <v/>
      </c>
      <c r="K42" s="63" t="str">
        <f t="shared" si="0"/>
        <v/>
      </c>
      <c r="L42" s="62" t="str">
        <f t="shared" si="2"/>
        <v/>
      </c>
      <c r="M42" s="62" t="str">
        <f>IF(C42="","",VLOOKUP(A42,B24:N51,11,FALSE)+L42)</f>
        <v/>
      </c>
      <c r="N42" s="155"/>
      <c r="S42" s="138">
        <f t="shared" si="3"/>
        <v>0</v>
      </c>
      <c r="T42" s="138">
        <f t="shared" si="4"/>
        <v>0</v>
      </c>
    </row>
    <row r="43" spans="1:20" ht="15">
      <c r="A43" s="167"/>
      <c r="B43" s="168"/>
      <c r="C43" s="169"/>
      <c r="D43" s="169"/>
      <c r="E43" s="170"/>
      <c r="F43" s="58" t="str">
        <f>IF(OR($D$6="",$D$12=""),"",IF(OR(D43&gt;$D$13,SUM($D$24:$D$50)&gt;$D$13,E43&gt;$D$14,SUM($E$24:$E$50)&gt;$D$14),"Rev. Total. abon/AP.",IF(D43="","",IF(OR($D$6="SAN CRISTOBAL",$D$6="FLOREANA"),VLOOKUP(D43,'Estratos SCY - FLO'!$A$4:$M$108,IF($D$12="A1",2,IF($D$12="A",5,IF($D$12="B",8,11))))+E43/(0.9*1000),VLOOKUP(D43,'Estratos SCX - ISA'!$A$3:$M$107,IF($D$12="A1",2,IF($D$12="A",5,IF($D$12="B",8,11))))+E43/(0.9*1000)))))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IF(OR(H43="",$D$10="",$N$10=""),"",IF($D$10="COBRE",VLOOKUP(CDV_EXIST_BT!H43,FDV!$B$16:$E$24,IF(CDV_EXIST_BT!$N$10="3F",3,4),FALSE),IF($D$10="ACS",VLOOKUP(CDV_EXIST_BT!H43,FDV!$B$10:$E$15,IF(CDV_EXIST_BT!$N$10="3F",3,4),FALSE),IF($D$10="5005 (PREENSAMBLADO)",VLOOKUP(CDV_EXIST_BT!H43,FDV!$B$4:$E$9,IF(CDV_EXIST_BT!$N$10="3F",3,4),FALSE),VLOOKUP(CDV_EXIST_BT!H43,FDV!$B$25:$E$30,IF(CDV_EXIST_BT!$N$10="3F",3,4),FALSE)))))</f>
        <v/>
      </c>
      <c r="K43" s="63" t="str">
        <f t="shared" si="0"/>
        <v/>
      </c>
      <c r="L43" s="62" t="str">
        <f t="shared" si="2"/>
        <v/>
      </c>
      <c r="M43" s="62" t="str">
        <f>IF(C43="","",VLOOKUP(A43,B24:N51,11,FALSE)+L43)</f>
        <v/>
      </c>
      <c r="N43" s="155"/>
      <c r="S43" s="138">
        <f t="shared" si="3"/>
        <v>0</v>
      </c>
      <c r="T43" s="138">
        <f t="shared" si="4"/>
        <v>0</v>
      </c>
    </row>
    <row r="44" spans="1:20" ht="15">
      <c r="A44" s="167"/>
      <c r="B44" s="168"/>
      <c r="C44" s="169"/>
      <c r="D44" s="169"/>
      <c r="E44" s="170"/>
      <c r="F44" s="58" t="str">
        <f>IF(OR($D$6="",$D$12=""),"",IF(OR(D44&gt;$D$13,SUM($D$24:$D$50)&gt;$D$13,E44&gt;$D$14,SUM($E$24:$E$50)&gt;$D$14),"Rev. Total. abon/AP.",IF(D44="","",IF(OR($D$6="SAN CRISTOBAL",$D$6="FLOREANA"),VLOOKUP(D44,'Estratos SCY - FLO'!$A$4:$M$108,IF($D$12="A1",2,IF($D$12="A",5,IF($D$12="B",8,11))))+E44/(0.9*1000),VLOOKUP(D44,'Estratos SCX - ISA'!$A$3:$M$107,IF($D$12="A1",2,IF($D$12="A",5,IF($D$12="B",8,11))))+E44/(0.9*1000)))))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IF(OR(H44="",$D$10="",$N$10=""),"",IF($D$10="COBRE",VLOOKUP(CDV_EXIST_BT!H44,FDV!$B$16:$E$24,IF(CDV_EXIST_BT!$N$10="3F",3,4),FALSE),IF($D$10="ACS",VLOOKUP(CDV_EXIST_BT!H44,FDV!$B$10:$E$15,IF(CDV_EXIST_BT!$N$10="3F",3,4),FALSE),IF($D$10="5005 (PREENSAMBLADO)",VLOOKUP(CDV_EXIST_BT!H44,FDV!$B$4:$E$9,IF(CDV_EXIST_BT!$N$10="3F",3,4),FALSE),VLOOKUP(CDV_EXIST_BT!H44,FDV!$B$25:$E$30,IF(CDV_EXIST_BT!$N$10="3F",3,4),FALSE)))))</f>
        <v/>
      </c>
      <c r="K44" s="63" t="str">
        <f t="shared" si="0"/>
        <v/>
      </c>
      <c r="L44" s="62" t="str">
        <f t="shared" si="2"/>
        <v/>
      </c>
      <c r="M44" s="62" t="str">
        <f>IF(C44="","",VLOOKUP(A44,B24:N51,11,FALSE)+L44)</f>
        <v/>
      </c>
      <c r="N44" s="155"/>
      <c r="S44" s="138">
        <f t="shared" si="3"/>
        <v>0</v>
      </c>
      <c r="T44" s="138">
        <f t="shared" si="4"/>
        <v>0</v>
      </c>
    </row>
    <row r="45" spans="1:20" ht="15">
      <c r="A45" s="167"/>
      <c r="B45" s="168"/>
      <c r="C45" s="169"/>
      <c r="D45" s="169"/>
      <c r="E45" s="170"/>
      <c r="F45" s="58" t="str">
        <f>IF(OR($D$6="",$D$12=""),"",IF(OR(D45&gt;$D$13,SUM($D$24:$D$50)&gt;$D$13,E45&gt;$D$14,SUM($E$24:$E$50)&gt;$D$14),"Rev. Total. abon/AP.",IF(D45="","",IF(OR($D$6="SAN CRISTOBAL",$D$6="FLOREANA"),VLOOKUP(D45,'Estratos SCY - FLO'!$A$4:$M$108,IF($D$12="A1",2,IF($D$12="A",5,IF($D$12="B",8,11))))+E45/(0.9*1000),VLOOKUP(D45,'Estratos SCX - ISA'!$A$3:$M$107,IF($D$12="A1",2,IF($D$12="A",5,IF($D$12="B",8,11))))+E45/(0.9*1000)))))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IF(OR(H45="",$D$10="",$N$10=""),"",IF($D$10="COBRE",VLOOKUP(CDV_EXIST_BT!H45,FDV!$B$16:$E$24,IF(CDV_EXIST_BT!$N$10="3F",3,4),FALSE),IF($D$10="ACS",VLOOKUP(CDV_EXIST_BT!H45,FDV!$B$10:$E$15,IF(CDV_EXIST_BT!$N$10="3F",3,4),FALSE),IF($D$10="5005 (PREENSAMBLADO)",VLOOKUP(CDV_EXIST_BT!H45,FDV!$B$4:$E$9,IF(CDV_EXIST_BT!$N$10="3F",3,4),FALSE),VLOOKUP(CDV_EXIST_BT!H45,FDV!$B$25:$E$30,IF(CDV_EXIST_BT!$N$10="3F",3,4),FALSE)))))</f>
        <v/>
      </c>
      <c r="K45" s="63" t="str">
        <f t="shared" si="0"/>
        <v/>
      </c>
      <c r="L45" s="62" t="str">
        <f t="shared" si="2"/>
        <v/>
      </c>
      <c r="M45" s="62" t="str">
        <f>IF(C45="","",VLOOKUP(A45,B24:N51,11,FALSE)+L45)</f>
        <v/>
      </c>
      <c r="N45" s="155"/>
      <c r="S45" s="138">
        <f t="shared" si="3"/>
        <v>0</v>
      </c>
      <c r="T45" s="138">
        <f t="shared" si="4"/>
        <v>0</v>
      </c>
    </row>
    <row r="46" spans="1:20" ht="15">
      <c r="A46" s="167"/>
      <c r="B46" s="168"/>
      <c r="C46" s="169"/>
      <c r="D46" s="169"/>
      <c r="E46" s="170"/>
      <c r="F46" s="58" t="str">
        <f>IF(OR($D$6="",$D$12=""),"",IF(OR(D46&gt;$D$13,SUM($D$24:$D$50)&gt;$D$13,E46&gt;$D$14,SUM($E$24:$E$50)&gt;$D$14),"Rev. Total. abon/AP.",IF(D46="","",IF(OR($D$6="SAN CRISTOBAL",$D$6="FLOREANA"),VLOOKUP(D46,'Estratos SCY - FLO'!$A$4:$M$108,IF($D$12="A1",2,IF($D$12="A",5,IF($D$12="B",8,11))))+E46/(0.9*1000),VLOOKUP(D46,'Estratos SCX - ISA'!$A$3:$M$107,IF($D$12="A1",2,IF($D$12="A",5,IF($D$12="B",8,11))))+E46/(0.9*1000)))))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IF(OR(H46="",$D$10="",$N$10=""),"",IF($D$10="COBRE",VLOOKUP(CDV_EXIST_BT!H46,FDV!$B$16:$E$24,IF(CDV_EXIST_BT!$N$10="3F",3,4),FALSE),IF($D$10="ACS",VLOOKUP(CDV_EXIST_BT!H46,FDV!$B$10:$E$15,IF(CDV_EXIST_BT!$N$10="3F",3,4),FALSE),IF($D$10="5005 (PREENSAMBLADO)",VLOOKUP(CDV_EXIST_BT!H46,FDV!$B$4:$E$9,IF(CDV_EXIST_BT!$N$10="3F",3,4),FALSE),VLOOKUP(CDV_EXIST_BT!H46,FDV!$B$25:$E$30,IF(CDV_EXIST_BT!$N$10="3F",3,4),FALSE)))))</f>
        <v/>
      </c>
      <c r="K46" s="63" t="str">
        <f t="shared" si="0"/>
        <v/>
      </c>
      <c r="L46" s="62" t="str">
        <f t="shared" si="2"/>
        <v/>
      </c>
      <c r="M46" s="62" t="str">
        <f>IF(C46="","",VLOOKUP(A46,B24:N51,11,FALSE)+L46)</f>
        <v/>
      </c>
      <c r="N46" s="155"/>
      <c r="S46" s="138">
        <f t="shared" si="3"/>
        <v>0</v>
      </c>
      <c r="T46" s="138">
        <f t="shared" si="4"/>
        <v>0</v>
      </c>
    </row>
    <row r="47" spans="1:20" ht="15">
      <c r="A47" s="167"/>
      <c r="B47" s="168"/>
      <c r="C47" s="169"/>
      <c r="D47" s="169"/>
      <c r="E47" s="170"/>
      <c r="F47" s="58" t="str">
        <f>IF(OR($D$6="",$D$12=""),"",IF(OR(D47&gt;$D$13,SUM($D$24:$D$50)&gt;$D$13,E47&gt;$D$14,SUM($E$24:$E$50)&gt;$D$14),"Rev. Total. abon/AP.",IF(D47="","",IF(OR($D$6="SAN CRISTOBAL",$D$6="FLOREANA"),VLOOKUP(D47,'Estratos SCY - FLO'!$A$4:$M$108,IF($D$12="A1",2,IF($D$12="A",5,IF($D$12="B",8,11))))+E47/(0.9*1000),VLOOKUP(D47,'Estratos SCX - ISA'!$A$3:$M$107,IF($D$12="A1",2,IF($D$12="A",5,IF($D$12="B",8,11))))+E47/(0.9*1000)))))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IF(OR(H47="",$D$10="",$N$10=""),"",IF($D$10="COBRE",VLOOKUP(CDV_EXIST_BT!H47,FDV!$B$16:$E$24,IF(CDV_EXIST_BT!$N$10="3F",3,4),FALSE),IF($D$10="ACS",VLOOKUP(CDV_EXIST_BT!H47,FDV!$B$10:$E$15,IF(CDV_EXIST_BT!$N$10="3F",3,4),FALSE),IF($D$10="5005 (PREENSAMBLADO)",VLOOKUP(CDV_EXIST_BT!H47,FDV!$B$4:$E$9,IF(CDV_EXIST_BT!$N$10="3F",3,4),FALSE),VLOOKUP(CDV_EXIST_BT!H47,FDV!$B$25:$E$30,IF(CDV_EXIST_BT!$N$10="3F",3,4),FALSE)))))</f>
        <v/>
      </c>
      <c r="K47" s="63" t="str">
        <f t="shared" si="0"/>
        <v/>
      </c>
      <c r="L47" s="62" t="str">
        <f t="shared" si="2"/>
        <v/>
      </c>
      <c r="M47" s="62" t="str">
        <f>IF(C47="","",VLOOKUP(A47,B24:N51,11,FALSE)+L47)</f>
        <v/>
      </c>
      <c r="N47" s="155"/>
      <c r="S47" s="138">
        <f t="shared" si="3"/>
        <v>0</v>
      </c>
      <c r="T47" s="138">
        <f t="shared" si="4"/>
        <v>0</v>
      </c>
    </row>
    <row r="48" spans="1:20" ht="15">
      <c r="A48" s="167"/>
      <c r="B48" s="168"/>
      <c r="C48" s="169"/>
      <c r="D48" s="169"/>
      <c r="E48" s="170"/>
      <c r="F48" s="58" t="str">
        <f>IF(OR($D$6="",$D$12=""),"",IF(OR(D48&gt;$D$13,SUM($D$24:$D$50)&gt;$D$13,E48&gt;$D$14,SUM($E$24:$E$50)&gt;$D$14),"Rev. Total. abon/AP.",IF(D48="","",IF(OR($D$6="SAN CRISTOBAL",$D$6="FLOREANA"),VLOOKUP(D48,'Estratos SCY - FLO'!$A$4:$M$108,IF($D$12="A1",2,IF($D$12="A",5,IF($D$12="B",8,11))))+E48/(0.9*1000),VLOOKUP(D48,'Estratos SCX - ISA'!$A$3:$M$107,IF($D$12="A1",2,IF($D$12="A",5,IF($D$12="B",8,11))))+E48/(0.9*1000)))))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IF(OR(H48="",$D$10="",$N$10=""),"",IF($D$10="COBRE",VLOOKUP(CDV_EXIST_BT!H48,FDV!$B$16:$E$24,IF(CDV_EXIST_BT!$N$10="3F",3,4),FALSE),IF($D$10="ACS",VLOOKUP(CDV_EXIST_BT!H48,FDV!$B$10:$E$15,IF(CDV_EXIST_BT!$N$10="3F",3,4),FALSE),IF($D$10="5005 (PREENSAMBLADO)",VLOOKUP(CDV_EXIST_BT!H48,FDV!$B$4:$E$9,IF(CDV_EXIST_BT!$N$10="3F",3,4),FALSE),VLOOKUP(CDV_EXIST_BT!H48,FDV!$B$25:$E$30,IF(CDV_EXIST_BT!$N$10="3F",3,4),FALSE)))))</f>
        <v/>
      </c>
      <c r="K48" s="63" t="str">
        <f t="shared" si="0"/>
        <v/>
      </c>
      <c r="L48" s="62" t="str">
        <f t="shared" si="2"/>
        <v/>
      </c>
      <c r="M48" s="62" t="str">
        <f>IF(C48="","",VLOOKUP(A48,B24:N51,11,FALSE)+L48)</f>
        <v/>
      </c>
      <c r="N48" s="155"/>
      <c r="S48" s="138">
        <f t="shared" si="3"/>
        <v>0</v>
      </c>
      <c r="T48" s="138">
        <f t="shared" si="4"/>
        <v>0</v>
      </c>
    </row>
    <row r="49" spans="1:20" ht="15">
      <c r="A49" s="167"/>
      <c r="B49" s="168"/>
      <c r="C49" s="169"/>
      <c r="D49" s="169"/>
      <c r="E49" s="170"/>
      <c r="F49" s="58" t="str">
        <f>IF(OR($D$6="",$D$12=""),"",IF(OR(D49&gt;$D$13,SUM($D$24:$D$50)&gt;$D$13,E49&gt;$D$14,SUM($E$24:$E$50)&gt;$D$14),"Rev. Total. abon/AP.",IF(D49="","",IF(OR($D$6="SAN CRISTOBAL",$D$6="FLOREANA"),VLOOKUP(D49,'Estratos SCY - FLO'!$A$4:$M$108,IF($D$12="A1",2,IF($D$12="A",5,IF($D$12="B",8,11))))+E49/(0.9*1000),VLOOKUP(D49,'Estratos SCX - ISA'!$A$3:$M$107,IF($D$12="A1",2,IF($D$12="A",5,IF($D$12="B",8,11))))+E49/(0.9*1000)))))</f>
        <v/>
      </c>
      <c r="G49" s="59" t="str">
        <f t="shared" si="1"/>
        <v/>
      </c>
      <c r="H49" s="183"/>
      <c r="I49" s="183"/>
      <c r="J49" s="59" t="str">
        <f>IF(OR(H49="",$D$10="",$N$10=""),"",IF($D$10="COBRE",VLOOKUP(CDV_EXIST_BT!H49,FDV!$B$16:$E$24,IF(CDV_EXIST_BT!$N$10="3F",3,4),FALSE),IF($D$10="ACS",VLOOKUP(CDV_EXIST_BT!H49,FDV!$B$10:$E$15,IF(CDV_EXIST_BT!$N$10="3F",3,4),FALSE),IF($D$10="5005 (PREENSAMBLADO)",VLOOKUP(CDV_EXIST_BT!H49,FDV!$B$4:$E$9,IF(CDV_EXIST_BT!$N$10="3F",3,4),FALSE),VLOOKUP(CDV_EXIST_BT!H49,FDV!$B$25:$E$30,IF(CDV_EXIST_BT!$N$10="3F",3,4),FALSE)))))</f>
        <v/>
      </c>
      <c r="K49" s="63" t="str">
        <f t="shared" si="0"/>
        <v/>
      </c>
      <c r="L49" s="62" t="str">
        <f t="shared" si="2"/>
        <v/>
      </c>
      <c r="M49" s="62" t="str">
        <f>IF(C49="","",VLOOKUP(A49,B24:N51,11,FALSE)+L49)</f>
        <v/>
      </c>
      <c r="N49" s="156"/>
      <c r="S49" s="138">
        <f t="shared" si="3"/>
        <v>0</v>
      </c>
      <c r="T49" s="138">
        <f t="shared" si="4"/>
        <v>0</v>
      </c>
    </row>
    <row r="50" spans="1:20" ht="15.75" thickBot="1">
      <c r="A50" s="178"/>
      <c r="B50" s="179"/>
      <c r="C50" s="180"/>
      <c r="D50" s="180"/>
      <c r="E50" s="181"/>
      <c r="F50" s="68" t="str">
        <f>IF(OR($D$6="",$D$12=""),"",IF(OR(D50&gt;$D$13,SUM($D$24:$D$50)&gt;$D$13,E50&gt;$D$14,SUM($E$24:$E$50)&gt;$D$14),"Rev. Total. abon/AP.",IF(D50="","",IF(OR($D$6="SAN CRISTOBAL",$D$6="FLOREANA"),VLOOKUP(D50,'Estratos SCY - FLO'!$A$4:$M$108,IF($D$12="A1",2,IF($D$12="A",5,IF($D$12="B",8,11))))+E50/(0.9*1000),VLOOKUP(D50,'Estratos SCX - ISA'!$A$3:$M$107,IF($D$12="A1",2,IF($D$12="A",5,IF($D$12="B",8,11))))+E50/(0.9*1000)))))</f>
        <v/>
      </c>
      <c r="G50" s="69" t="str">
        <f t="shared" si="1"/>
        <v/>
      </c>
      <c r="H50" s="184"/>
      <c r="I50" s="184"/>
      <c r="J50" s="69" t="str">
        <f>IF(OR(H50="",$D$10="",$N$10=""),"",IF($D$10="COBRE",VLOOKUP(CDV_EXIST_BT!H50,FDV!$B$16:$E$24,IF(CDV_EXIST_BT!$N$10="3F",3,4),FALSE),IF($D$10="ACS",VLOOKUP(CDV_EXIST_BT!H50,FDV!$B$10:$E$15,IF(CDV_EXIST_BT!$N$10="3F",3,4),FALSE),IF($D$10="5005 (PREENSAMBLADO)",VLOOKUP(CDV_EXIST_BT!H50,FDV!$B$4:$E$9,IF(CDV_EXIST_BT!$N$10="3F",3,4),FALSE),VLOOKUP(CDV_EXIST_BT!H50,FDV!$B$25:$E$30,IF(CDV_EXIST_BT!$N$10="3F",3,4),FALSE)))))</f>
        <v/>
      </c>
      <c r="K50" s="65" t="str">
        <f t="shared" si="0"/>
        <v/>
      </c>
      <c r="L50" s="64" t="str">
        <f t="shared" si="2"/>
        <v/>
      </c>
      <c r="M50" s="64" t="str">
        <f>IF(C50="","",VLOOKUP(A50,B24:N51,11,FALSE)+L50)</f>
        <v/>
      </c>
      <c r="N50" s="157"/>
      <c r="S50" s="138">
        <f t="shared" si="3"/>
        <v>0</v>
      </c>
      <c r="T50" s="138">
        <f t="shared" si="4"/>
        <v>0</v>
      </c>
    </row>
    <row r="51" spans="1:20" ht="24" hidden="1" thickBot="1">
      <c r="A51" s="143"/>
      <c r="B51" s="67" t="str">
        <f>IF(N20="","",N20)</f>
        <v/>
      </c>
      <c r="C51" s="144"/>
      <c r="D51" s="144"/>
      <c r="E51" s="145"/>
      <c r="F51" s="68"/>
      <c r="G51" s="69" t="str">
        <f aca="true" t="shared" si="5" ref="G51">IF(OR($N$10="",D51=""),"",IF($N$10="1F",1,3))</f>
        <v/>
      </c>
      <c r="H51" s="146" t="str">
        <f>IF(B51="","",IF(B51-A51=1,H50,""))</f>
        <v/>
      </c>
      <c r="I51" s="146"/>
      <c r="J51" s="70" t="str">
        <f>IF(OR(H51="",$D$10="",$N$10=""),"",IF($D$10="COBRE",VLOOKUP(CDV_EXIST_BT!H51,FDV!$B$16:$E$24,IF(CDV_EXIST_BT!$N$10="3F",3,4),FALSE),IF($D$10="ACS",VLOOKUP(CDV_EXIST_BT!H51,FDV!$B$10:$E$15,IF(CDV_EXIST_BT!$N$10="3F",3,4),FALSE),IF($D$10="5005 (PREENSAMBLADO)",VLOOKUP(CDV_EXIST_BT!H51,FDV!$B$4:$E$9,IF(CDV_EXIST_BT!$N$10="3F",3,4),FALSE),VLOOKUP(CDV_EXIST_BT!H51,FDV!$B$25:$E$30,IF(CDV_EXIST_BT!$N$10="3F",3,4),FALSE)))))</f>
        <v/>
      </c>
      <c r="K51" s="71" t="str">
        <f t="shared" si="0"/>
        <v/>
      </c>
      <c r="L51" s="68" t="str">
        <f>IF(C51="","",ROUND(K51/J51,2))</f>
        <v/>
      </c>
      <c r="M51" s="72">
        <v>0</v>
      </c>
      <c r="N51" s="66"/>
      <c r="S51" s="138">
        <f aca="true" t="shared" si="6" ref="S51:S52">+IF(D51&gt;0,C51,0)</f>
        <v>0</v>
      </c>
      <c r="T51" s="138">
        <f t="shared" si="4"/>
        <v>0</v>
      </c>
    </row>
    <row r="52" spans="1:20" ht="15.75" thickBot="1">
      <c r="A52" s="73" t="s">
        <v>104</v>
      </c>
      <c r="B52" s="74"/>
      <c r="C52" s="75"/>
      <c r="D52" s="75"/>
      <c r="E52" s="76"/>
      <c r="F52" s="77"/>
      <c r="G52" s="78"/>
      <c r="H52" s="79"/>
      <c r="I52" s="79"/>
      <c r="J52" s="78"/>
      <c r="K52" s="76"/>
      <c r="L52" s="76"/>
      <c r="M52" s="128"/>
      <c r="N52" s="240"/>
      <c r="S52" s="138">
        <f t="shared" si="6"/>
        <v>0</v>
      </c>
      <c r="T52" s="138">
        <f aca="true" t="shared" si="7" ref="T52">IF(C52="",0,C52*G52)</f>
        <v>0</v>
      </c>
    </row>
    <row r="53" spans="1:14" ht="15.75" thickBot="1">
      <c r="A53" s="93" t="s">
        <v>96</v>
      </c>
      <c r="B53" s="94">
        <f>+ROUND(SUMIF(H24:H50,"4/0",T24:T52)*1.015,0)</f>
        <v>0</v>
      </c>
      <c r="C53" s="93" t="s">
        <v>97</v>
      </c>
      <c r="D53" s="94">
        <f>ROUND((SUMIF(H24:H50,"3/0",T24:T52))*1.015,0)</f>
        <v>0</v>
      </c>
      <c r="E53" s="82" t="s">
        <v>95</v>
      </c>
      <c r="F53" s="81">
        <f>ROUND((SUMIF(H24:H50,"2/0",T24:T52))*1.015,0)</f>
        <v>0</v>
      </c>
      <c r="G53" s="80" t="s">
        <v>57</v>
      </c>
      <c r="H53" s="81">
        <f>ROUND((SUMIF(H24:H50,"1/0",T24:T52))*1.015,0)</f>
        <v>0</v>
      </c>
      <c r="I53" s="80" t="s">
        <v>58</v>
      </c>
      <c r="J53" s="81">
        <f>ROUND((SUMIF(H24:H50,"2",T24:T52))*1.015,0)</f>
        <v>0</v>
      </c>
      <c r="K53" s="93" t="s">
        <v>103</v>
      </c>
      <c r="L53" s="125">
        <f>ROUND((SUMIF(H24:H50,"4",T24:T52))*1.015,0)</f>
        <v>0</v>
      </c>
      <c r="M53" s="147"/>
      <c r="N53" s="241"/>
    </row>
    <row r="54" spans="1:14" ht="15.75" thickBot="1">
      <c r="A54" s="119" t="s">
        <v>107</v>
      </c>
      <c r="B54" s="120"/>
      <c r="C54" s="114"/>
      <c r="D54" s="114"/>
      <c r="E54" s="121"/>
      <c r="F54" s="92"/>
      <c r="G54" s="91"/>
      <c r="H54" s="92"/>
      <c r="I54" s="92"/>
      <c r="J54" s="91"/>
      <c r="K54" s="92"/>
      <c r="L54" s="91"/>
      <c r="M54" s="92"/>
      <c r="N54" s="241"/>
    </row>
    <row r="55" spans="1:14" ht="15.75" thickBot="1">
      <c r="A55" s="93" t="s">
        <v>96</v>
      </c>
      <c r="B55" s="94">
        <f>+ROUND(SUMIF(I24:I50,"4/0",S24:S52)*1.015,0)</f>
        <v>0</v>
      </c>
      <c r="C55" s="93" t="s">
        <v>97</v>
      </c>
      <c r="D55" s="94">
        <f>ROUND((SUMIF(I24:I50,"3/0",S24:S52))*1.015,0)</f>
        <v>0</v>
      </c>
      <c r="E55" s="93" t="s">
        <v>95</v>
      </c>
      <c r="F55" s="94">
        <f>ROUND((SUMIF(I24:I50,"2/0",S24:S52))*1.015,0)</f>
        <v>0</v>
      </c>
      <c r="G55" s="93" t="s">
        <v>57</v>
      </c>
      <c r="H55" s="94">
        <f>ROUND((SUMIF(I24:I50,"1/0",S24:S52))*1.015,0)</f>
        <v>0</v>
      </c>
      <c r="I55" s="93" t="s">
        <v>58</v>
      </c>
      <c r="J55" s="94">
        <f>ROUND((SUMIF(I24:I50,"2",S24:S52))*1.015,0)</f>
        <v>0</v>
      </c>
      <c r="K55" s="93" t="s">
        <v>103</v>
      </c>
      <c r="L55" s="125">
        <f>ROUND((SUMIF(I24:I50,"4",S24:S52))*1.015,0)</f>
        <v>0</v>
      </c>
      <c r="M55" s="92"/>
      <c r="N55" s="241"/>
    </row>
    <row r="56" spans="1:14" ht="20.25" customHeight="1" thickBot="1">
      <c r="A56" s="312" t="s">
        <v>110</v>
      </c>
      <c r="B56" s="312"/>
      <c r="C56" s="312"/>
      <c r="D56" s="122" t="str">
        <f>IF(N10="","",SUM(C24:C50))</f>
        <v/>
      </c>
      <c r="E56" s="123" t="s">
        <v>59</v>
      </c>
      <c r="G56" s="21"/>
      <c r="H56" s="21"/>
      <c r="I56" s="21"/>
      <c r="J56" s="21"/>
      <c r="K56" s="21"/>
      <c r="L56" s="21"/>
      <c r="M56" s="23"/>
      <c r="N56" s="83" t="s">
        <v>80</v>
      </c>
    </row>
    <row r="57" spans="1:14" ht="15">
      <c r="A57" s="36" t="s">
        <v>60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1"/>
      <c r="N57" s="84" t="s">
        <v>61</v>
      </c>
    </row>
    <row r="58" spans="1:14" ht="15.75" thickBot="1">
      <c r="A58" s="14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9"/>
      <c r="N58" s="85">
        <f>MAX(N24:N50)</f>
        <v>0</v>
      </c>
    </row>
  </sheetData>
  <mergeCells count="22">
    <mergeCell ref="S22:S23"/>
    <mergeCell ref="T22:T23"/>
    <mergeCell ref="N52:N55"/>
    <mergeCell ref="B58:M58"/>
    <mergeCell ref="B57:M57"/>
    <mergeCell ref="G22:J22"/>
    <mergeCell ref="A56:C56"/>
    <mergeCell ref="K22:K23"/>
    <mergeCell ref="L22:N22"/>
    <mergeCell ref="D8:F8"/>
    <mergeCell ref="H13:J13"/>
    <mergeCell ref="H14:J14"/>
    <mergeCell ref="A22:B22"/>
    <mergeCell ref="A15:J16"/>
    <mergeCell ref="D10:F10"/>
    <mergeCell ref="A2:N2"/>
    <mergeCell ref="A4:N4"/>
    <mergeCell ref="D6:E6"/>
    <mergeCell ref="F6:G6"/>
    <mergeCell ref="H6:J6"/>
    <mergeCell ref="K6:L6"/>
    <mergeCell ref="M6:N6"/>
  </mergeCells>
  <conditionalFormatting sqref="N24:N41 N43:N51">
    <cfRule type="expression" priority="1" dxfId="0" stopIfTrue="1">
      <formula>$V23&gt;0</formula>
    </cfRule>
  </conditionalFormatting>
  <conditionalFormatting sqref="D6 H6 M6 D8 D10 D12 D13 D14 H13 H14 N10 N12 N1 N20 N13">
    <cfRule type="cellIs" priority="3" dxfId="1" operator="equal" stopIfTrue="1">
      <formula>""</formula>
    </cfRule>
  </conditionalFormatting>
  <conditionalFormatting sqref="N42">
    <cfRule type="expression" priority="4" dxfId="0" stopIfTrue="1">
      <formula>#REF!&gt;0</formula>
    </cfRule>
  </conditionalFormatting>
  <dataValidations count="6">
    <dataValidation type="list" allowBlank="1" showInputMessage="1" showErrorMessage="1" sqref="D8">
      <formula1>$U$5:$U$7</formula1>
    </dataValidation>
    <dataValidation type="list" allowBlank="1" showInputMessage="1" showErrorMessage="1" sqref="D12">
      <formula1>$Y$5:$Y$8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H24:I50">
      <formula1>$AA$5:$AA$10</formula1>
    </dataValidation>
  </dataValidations>
  <printOptions/>
  <pageMargins left="0.7" right="0.7" top="0.75" bottom="0.75" header="0.3" footer="0.3"/>
  <pageSetup horizontalDpi="600" verticalDpi="600" orientation="portrait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workbookViewId="0" topLeftCell="A4">
      <selection activeCell="H23" sqref="H23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1.8515625" style="138" bestFit="1" customWidth="1"/>
    <col min="17" max="17" width="11.8515625" style="138" customWidth="1"/>
    <col min="18" max="27" width="11.421875" style="138" hidden="1" customWidth="1"/>
    <col min="28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49"/>
    </row>
    <row r="2" spans="1:14" ht="18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33"/>
      <c r="B3" s="133"/>
      <c r="C3" s="133"/>
      <c r="D3" s="133"/>
      <c r="E3" s="133"/>
      <c r="F3" s="22" t="s">
        <v>120</v>
      </c>
      <c r="G3" s="133"/>
      <c r="H3" s="133"/>
      <c r="I3" s="133"/>
      <c r="J3" s="133"/>
      <c r="K3" s="133"/>
      <c r="L3" s="133"/>
      <c r="M3" s="133"/>
      <c r="N3" s="87"/>
    </row>
    <row r="4" spans="1:27" ht="15.75">
      <c r="A4" s="137" t="s">
        <v>126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R4" s="138" t="s">
        <v>118</v>
      </c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R5" s="138" t="s">
        <v>22</v>
      </c>
      <c r="S5" s="138" t="s">
        <v>64</v>
      </c>
      <c r="U5" s="138" t="s">
        <v>115</v>
      </c>
      <c r="W5" s="138" t="s">
        <v>70</v>
      </c>
      <c r="Y5" s="138" t="s">
        <v>73</v>
      </c>
      <c r="Z5" s="138" t="s">
        <v>29</v>
      </c>
      <c r="AA5" s="158">
        <v>6</v>
      </c>
    </row>
    <row r="6" spans="1:27" ht="15.75" thickBot="1">
      <c r="A6" s="25" t="s">
        <v>23</v>
      </c>
      <c r="B6" s="26"/>
      <c r="C6" s="88"/>
      <c r="D6" s="259"/>
      <c r="E6" s="260"/>
      <c r="F6" s="266" t="s">
        <v>92</v>
      </c>
      <c r="G6" s="267"/>
      <c r="H6" s="299"/>
      <c r="I6" s="300"/>
      <c r="J6" s="301"/>
      <c r="K6" s="268" t="s">
        <v>81</v>
      </c>
      <c r="L6" s="269"/>
      <c r="M6" s="261"/>
      <c r="N6" s="262"/>
      <c r="P6" s="140"/>
      <c r="R6" s="138" t="s">
        <v>117</v>
      </c>
      <c r="S6" s="138" t="s">
        <v>65</v>
      </c>
      <c r="U6" s="138" t="s">
        <v>116</v>
      </c>
      <c r="W6" s="138" t="s">
        <v>7</v>
      </c>
      <c r="Y6" s="138" t="s">
        <v>76</v>
      </c>
      <c r="Z6" s="138" t="s">
        <v>78</v>
      </c>
      <c r="AA6" s="158">
        <v>4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W7" s="138" t="s">
        <v>27</v>
      </c>
      <c r="Y7" s="138" t="s">
        <v>74</v>
      </c>
      <c r="AA7" s="139">
        <v>2</v>
      </c>
    </row>
    <row r="8" spans="1:27" ht="15.75" thickBot="1">
      <c r="A8" s="25" t="s">
        <v>24</v>
      </c>
      <c r="B8" s="26"/>
      <c r="C8" s="26"/>
      <c r="D8" s="259"/>
      <c r="E8" s="258"/>
      <c r="F8" s="260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0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1</v>
      </c>
    </row>
    <row r="10" spans="1:27" ht="16.5" customHeight="1" thickBot="1">
      <c r="A10" s="30" t="s">
        <v>26</v>
      </c>
      <c r="B10" s="18"/>
      <c r="C10" s="23"/>
      <c r="D10" s="253"/>
      <c r="E10" s="254"/>
      <c r="F10" s="1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39" t="s">
        <v>2</v>
      </c>
    </row>
    <row r="11" spans="1:27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34"/>
      <c r="L11" s="35"/>
      <c r="M11" s="18"/>
      <c r="N11" s="18"/>
      <c r="S11" s="138" t="s">
        <v>84</v>
      </c>
      <c r="U11" s="138">
        <v>10</v>
      </c>
      <c r="V11" s="138">
        <v>30</v>
      </c>
      <c r="AA11" s="141" t="s">
        <v>3</v>
      </c>
    </row>
    <row r="12" spans="1:22" ht="15.75" thickBot="1">
      <c r="A12" s="25" t="s">
        <v>34</v>
      </c>
      <c r="B12" s="26"/>
      <c r="C12" s="27"/>
      <c r="D12" s="159"/>
      <c r="E12" s="38"/>
      <c r="F12" s="39"/>
      <c r="G12" s="39"/>
      <c r="H12" s="186"/>
      <c r="I12" s="39"/>
      <c r="J12" s="40"/>
      <c r="K12" s="36"/>
      <c r="L12" s="37"/>
      <c r="M12" s="89" t="s">
        <v>30</v>
      </c>
      <c r="N12" s="152"/>
      <c r="S12" s="138" t="s">
        <v>85</v>
      </c>
      <c r="U12" s="138">
        <v>15</v>
      </c>
      <c r="V12" s="138">
        <v>50</v>
      </c>
    </row>
    <row r="13" spans="1:22" ht="15.75" customHeight="1" thickBot="1">
      <c r="A13" s="319" t="s">
        <v>119</v>
      </c>
      <c r="B13" s="320"/>
      <c r="C13" s="321"/>
      <c r="D13" s="160"/>
      <c r="E13" s="21"/>
      <c r="F13" s="28"/>
      <c r="G13" s="42" t="s">
        <v>32</v>
      </c>
      <c r="H13" s="274"/>
      <c r="I13" s="275"/>
      <c r="J13" s="282"/>
      <c r="K13" s="41"/>
      <c r="L13" s="21"/>
      <c r="M13" s="90" t="s">
        <v>33</v>
      </c>
      <c r="N13" s="43" t="str">
        <f>IF(N10="","",IF(N10="3F","220 / 127 V","240 / 120 V"))</f>
        <v/>
      </c>
      <c r="S13" s="138" t="s">
        <v>86</v>
      </c>
      <c r="U13" s="138">
        <v>25</v>
      </c>
      <c r="V13" s="138">
        <v>75</v>
      </c>
    </row>
    <row r="14" spans="1:22" ht="25.5" customHeight="1" thickBot="1">
      <c r="A14" s="322" t="str">
        <f>+IF(D13="NO","INDICAR kVA TRAFO:","")</f>
        <v/>
      </c>
      <c r="B14" s="323"/>
      <c r="C14" s="324"/>
      <c r="D14" s="185"/>
      <c r="E14" s="41"/>
      <c r="F14" s="28"/>
      <c r="G14" s="42" t="s">
        <v>35</v>
      </c>
      <c r="H14" s="249"/>
      <c r="I14" s="250"/>
      <c r="J14" s="315"/>
      <c r="K14" s="41"/>
      <c r="L14" s="21"/>
      <c r="M14" s="90" t="s">
        <v>93</v>
      </c>
      <c r="N14" s="132" t="str">
        <f>IF(OR(N10="",D12=""),"",IF(D13="SI",(D12/900)*1.05,D12/900))</f>
        <v/>
      </c>
      <c r="S14" s="138" t="s">
        <v>87</v>
      </c>
      <c r="U14" s="138">
        <v>37.5</v>
      </c>
      <c r="V14" s="138">
        <v>100</v>
      </c>
    </row>
    <row r="15" spans="1:22" ht="33.75" customHeight="1" thickBot="1">
      <c r="A15" s="316"/>
      <c r="B15" s="317"/>
      <c r="C15" s="317"/>
      <c r="D15" s="317"/>
      <c r="E15" s="317"/>
      <c r="F15" s="317"/>
      <c r="G15" s="317"/>
      <c r="H15" s="317"/>
      <c r="I15" s="317"/>
      <c r="J15" s="318"/>
      <c r="K15" s="44"/>
      <c r="L15" s="34"/>
      <c r="M15" s="130" t="str">
        <f>+IF(OR(D13="NO",D13="",,D12="",N10=""),"","POT. NOMINAL TRAFO. (KVA):")</f>
        <v/>
      </c>
      <c r="N15" s="118" t="str">
        <f>IF(OR(D13="NO",D13="",D12="",N10=""),"",IF(N10="1F",IF($N$14&lt;$U$11,U11,IF(AND(N14&gt;U11,N14&lt;U12),U12,IF(AND(N14&gt;U12,N14&lt;U13),U13,IF(AND(N14&gt;U13,N14&lt;U14),U14,IF(AND(N14&gt;U14,N14&lt;U15),U15,IF(AND(N14&gt;U15,N14&lt;U16),U16,IF(AND(N14&gt;U16,N14&lt;U17),U17,IF(AND(N14&gt;U17,N14&lt;U18),U18,IF(AND(N14&gt;U18,N14&lt;U19),U19,D14))))))))),IF($N$14&lt;$V$11,V11,IF(AND(N14&gt;V11,N14&lt;V12),V12,IF(AND(N14&gt;V12,N14&lt;V13),V13,IF(AND(N14&gt;V13,N14&lt;V14),V14,IF(AND(N14&gt;V14,N14&lt;V15),V15,IF(AND(N14&gt;V15,N14&lt;V16),V16,IF(AND(N14&gt;V16,N14&lt;V17),V17,D14)))))))))</f>
        <v/>
      </c>
      <c r="S15" s="138" t="s">
        <v>88</v>
      </c>
      <c r="U15" s="138">
        <v>50</v>
      </c>
      <c r="V15" s="138">
        <v>125</v>
      </c>
    </row>
    <row r="16" spans="1:22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S16" s="138" t="s">
        <v>89</v>
      </c>
      <c r="U16" s="138">
        <v>75</v>
      </c>
      <c r="V16" s="138">
        <v>150</v>
      </c>
    </row>
    <row r="17" spans="1:22" ht="18.75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S17" s="138" t="s">
        <v>90</v>
      </c>
      <c r="U17" s="138">
        <v>100</v>
      </c>
      <c r="V17" s="138">
        <v>200</v>
      </c>
    </row>
    <row r="18" spans="1:21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/>
      <c r="M18" s="21"/>
      <c r="N18" s="51"/>
      <c r="S18" s="138" t="s">
        <v>91</v>
      </c>
      <c r="U18" s="138">
        <v>112.5</v>
      </c>
    </row>
    <row r="19" spans="1:21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53"/>
      <c r="Q19" s="139"/>
      <c r="U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0" ht="15.75" thickBot="1">
      <c r="A21" s="257" t="s">
        <v>38</v>
      </c>
      <c r="B21" s="252"/>
      <c r="C21" s="52" t="s">
        <v>39</v>
      </c>
      <c r="D21" s="52" t="s">
        <v>40</v>
      </c>
      <c r="E21" s="53" t="s">
        <v>41</v>
      </c>
      <c r="F21" s="53" t="s">
        <v>42</v>
      </c>
      <c r="G21" s="257" t="s">
        <v>43</v>
      </c>
      <c r="H21" s="251"/>
      <c r="I21" s="251"/>
      <c r="J21" s="252"/>
      <c r="K21" s="255" t="s">
        <v>44</v>
      </c>
      <c r="L21" s="251" t="s">
        <v>45</v>
      </c>
      <c r="M21" s="251"/>
      <c r="N21" s="252"/>
      <c r="S21" s="237" t="s">
        <v>98</v>
      </c>
      <c r="T21" s="237" t="s">
        <v>99</v>
      </c>
    </row>
    <row r="22" spans="1:20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6"/>
      <c r="L22" s="53" t="s">
        <v>54</v>
      </c>
      <c r="M22" s="43" t="s">
        <v>55</v>
      </c>
      <c r="N22" s="57" t="s">
        <v>56</v>
      </c>
      <c r="S22" s="237"/>
      <c r="T22" s="237"/>
    </row>
    <row r="23" spans="1:20" ht="15">
      <c r="A23" s="191" t="str">
        <f>+IF(N19="","",N19)</f>
        <v/>
      </c>
      <c r="B23" s="164"/>
      <c r="C23" s="165"/>
      <c r="D23" s="165"/>
      <c r="E23" s="166"/>
      <c r="F23" s="61" t="str">
        <f>IF(E23="","",E23/(900))</f>
        <v/>
      </c>
      <c r="G23" s="95" t="str">
        <f>IF(OR($N$10="",C23=""),"",IF($N$10="1F",1,3))</f>
        <v/>
      </c>
      <c r="H23" s="182"/>
      <c r="I23" s="182"/>
      <c r="J23" s="95" t="str">
        <f>IF(OR(H23="",$D$10="",$N$10=""),"",IF($D$10="COBRE",VLOOKUP(CDV_PROY_AP!H23,FDV!$B$16:$E$24,IF(CDV_PROY_AP!$N$10="3F",3,4),FALSE),IF($D$10="ACS",VLOOKUP(CDV_PROY_AP!H23,FDV!$B$10:$E$15,IF(CDV_PROY_AP!$N$10="3F",3,4),FALSE),IF($D$10="5005 (PREENSAMBLADO)",VLOOKUP(CDV_PROY_AP!H23,FDV!$B$4:$E$9,IF(CDV_PROY_AP!$N$10="3F",3,4),FALSE),VLOOKUP(CDV_PROY_AP!H23,FDV!$B$25:$E$30,IF(CDV_PROY_AP!$N$10="3F",3,4),FALSE)))))</f>
        <v/>
      </c>
      <c r="K23" s="60" t="str">
        <f aca="true" t="shared" si="0" ref="K23:K50">IF(C23="","",ROUND(F23*C23,0))</f>
        <v/>
      </c>
      <c r="L23" s="61" t="str">
        <f aca="true" t="shared" si="1" ref="L23:L49">IF($N$19="","",IF(C23="","",ROUND(K23/J23,2)))</f>
        <v/>
      </c>
      <c r="M23" s="61" t="str">
        <f>IF(C23="","",VLOOKUP(A23,B23:N50,12,FALSE)+L23)</f>
        <v/>
      </c>
      <c r="N23" s="154"/>
      <c r="S23" s="138">
        <f>+IF(C23="",0,C23)</f>
        <v>0</v>
      </c>
      <c r="T23" s="138">
        <f>IF(OR(C23="",G23=""),0,C23*G23)</f>
        <v>0</v>
      </c>
    </row>
    <row r="24" spans="1:20" ht="15">
      <c r="A24" s="167"/>
      <c r="B24" s="168"/>
      <c r="C24" s="169"/>
      <c r="D24" s="169"/>
      <c r="E24" s="170"/>
      <c r="F24" s="58" t="str">
        <f aca="true" t="shared" si="2" ref="F24:F50">IF(E24="","",E24/(900))</f>
        <v/>
      </c>
      <c r="G24" s="59" t="str">
        <f aca="true" t="shared" si="3" ref="G24:G49">IF(OR($N$10="",C24=""),"",IF($N$10="1F",1,3))</f>
        <v/>
      </c>
      <c r="H24" s="183"/>
      <c r="I24" s="183"/>
      <c r="J24" s="59" t="str">
        <f>IF(OR(H24="",$D$10="",$N$10=""),"",IF($D$10="COBRE",VLOOKUP(CDV_PROY_AP!H24,FDV!$B$16:$E$24,IF(CDV_PROY_AP!$N$10="3F",3,4),FALSE),IF($D$10="ACS",VLOOKUP(CDV_PROY_AP!H24,FDV!$B$10:$E$15,IF(CDV_PROY_AP!$N$10="3F",3,4),FALSE),IF($D$10="5005 (PREENSAMBLADO)",VLOOKUP(CDV_PROY_AP!H24,FDV!$B$4:$E$9,IF(CDV_PROY_AP!$N$10="3F",3,4),FALSE),VLOOKUP(CDV_PROY_AP!H24,FDV!$B$25:$E$30,IF(CDV_PROY_AP!$N$10="3F",3,4),FALSE)))))</f>
        <v/>
      </c>
      <c r="K24" s="63" t="str">
        <f t="shared" si="0"/>
        <v/>
      </c>
      <c r="L24" s="62" t="str">
        <f t="shared" si="1"/>
        <v/>
      </c>
      <c r="M24" s="62" t="str">
        <f>IF(C24="","",VLOOKUP(A24,B23:N50,11,FALSE)+L24)</f>
        <v/>
      </c>
      <c r="N24" s="155"/>
      <c r="S24" s="138">
        <f aca="true" t="shared" si="4" ref="S24:S49">+IF(C24="",0,C24)</f>
        <v>0</v>
      </c>
      <c r="T24" s="138">
        <f aca="true" t="shared" si="5" ref="T24:T51"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 t="shared" si="2"/>
        <v/>
      </c>
      <c r="G25" s="59" t="str">
        <f t="shared" si="3"/>
        <v/>
      </c>
      <c r="H25" s="183"/>
      <c r="I25" s="183"/>
      <c r="J25" s="59" t="str">
        <f>IF(OR(H25="",$D$10="",$N$10=""),"",IF($D$10="COBRE",VLOOKUP(CDV_PROY_AP!H25,FDV!$B$16:$E$24,IF(CDV_PROY_AP!$N$10="3F",3,4),FALSE),IF($D$10="ACS",VLOOKUP(CDV_PROY_AP!H25,FDV!$B$10:$E$15,IF(CDV_PROY_AP!$N$10="3F",3,4),FALSE),IF($D$10="5005 (PREENSAMBLADO)",VLOOKUP(CDV_PROY_AP!H25,FDV!$B$4:$E$9,IF(CDV_PROY_AP!$N$10="3F",3,4),FALSE),VLOOKUP(CDV_PROY_AP!H25,FDV!$B$25:$E$30,IF(CDV_PROY_AP!$N$10="3F",3,4),FALSE)))))</f>
        <v/>
      </c>
      <c r="K25" s="63" t="str">
        <f t="shared" si="0"/>
        <v/>
      </c>
      <c r="L25" s="62" t="str">
        <f t="shared" si="1"/>
        <v/>
      </c>
      <c r="M25" s="62" t="str">
        <f>IF(C25="","",VLOOKUP(A25,B23:N50,11,FALSE)+L25)</f>
        <v/>
      </c>
      <c r="N25" s="155"/>
      <c r="S25" s="138">
        <f t="shared" si="4"/>
        <v>0</v>
      </c>
      <c r="T25" s="138">
        <f t="shared" si="5"/>
        <v>0</v>
      </c>
    </row>
    <row r="26" spans="1:20" ht="15">
      <c r="A26" s="167"/>
      <c r="B26" s="168"/>
      <c r="C26" s="169"/>
      <c r="D26" s="169"/>
      <c r="E26" s="170"/>
      <c r="F26" s="58" t="str">
        <f t="shared" si="2"/>
        <v/>
      </c>
      <c r="G26" s="59" t="str">
        <f t="shared" si="3"/>
        <v/>
      </c>
      <c r="H26" s="183"/>
      <c r="I26" s="183"/>
      <c r="J26" s="59" t="str">
        <f>IF(OR(H26="",$D$10="",$N$10=""),"",IF($D$10="COBRE",VLOOKUP(CDV_PROY_AP!H26,FDV!$B$16:$E$24,IF(CDV_PROY_AP!$N$10="3F",3,4),FALSE),IF($D$10="ACS",VLOOKUP(CDV_PROY_AP!H26,FDV!$B$10:$E$15,IF(CDV_PROY_AP!$N$10="3F",3,4),FALSE),IF($D$10="5005 (PREENSAMBLADO)",VLOOKUP(CDV_PROY_AP!H26,FDV!$B$4:$E$9,IF(CDV_PROY_AP!$N$10="3F",3,4),FALSE),VLOOKUP(CDV_PROY_AP!H26,FDV!$B$25:$E$30,IF(CDV_PROY_AP!$N$10="3F",3,4),FALSE)))))</f>
        <v/>
      </c>
      <c r="K26" s="63" t="str">
        <f t="shared" si="0"/>
        <v/>
      </c>
      <c r="L26" s="62" t="str">
        <f t="shared" si="1"/>
        <v/>
      </c>
      <c r="M26" s="62" t="str">
        <f>IF(C26="","",VLOOKUP(A26,B23:N50,11,FALSE)+L26)</f>
        <v/>
      </c>
      <c r="N26" s="155"/>
      <c r="S26" s="138">
        <f t="shared" si="4"/>
        <v>0</v>
      </c>
      <c r="T26" s="138">
        <f t="shared" si="5"/>
        <v>0</v>
      </c>
    </row>
    <row r="27" spans="1:20" ht="15">
      <c r="A27" s="167"/>
      <c r="B27" s="168"/>
      <c r="C27" s="169"/>
      <c r="D27" s="169"/>
      <c r="E27" s="170"/>
      <c r="F27" s="58" t="str">
        <f t="shared" si="2"/>
        <v/>
      </c>
      <c r="G27" s="59" t="str">
        <f t="shared" si="3"/>
        <v/>
      </c>
      <c r="H27" s="183"/>
      <c r="I27" s="183"/>
      <c r="J27" s="59" t="str">
        <f>IF(OR(H27="",$D$10="",$N$10=""),"",IF($D$10="COBRE",VLOOKUP(CDV_PROY_AP!H27,FDV!$B$16:$E$24,IF(CDV_PROY_AP!$N$10="3F",3,4),FALSE),IF($D$10="ACS",VLOOKUP(CDV_PROY_AP!H27,FDV!$B$10:$E$15,IF(CDV_PROY_AP!$N$10="3F",3,4),FALSE),IF($D$10="5005 (PREENSAMBLADO)",VLOOKUP(CDV_PROY_AP!H27,FDV!$B$4:$E$9,IF(CDV_PROY_AP!$N$10="3F",3,4),FALSE),VLOOKUP(CDV_PROY_AP!H27,FDV!$B$25:$E$30,IF(CDV_PROY_AP!$N$10="3F",3,4),FALSE)))))</f>
        <v/>
      </c>
      <c r="K27" s="63" t="str">
        <f t="shared" si="0"/>
        <v/>
      </c>
      <c r="L27" s="62" t="str">
        <f t="shared" si="1"/>
        <v/>
      </c>
      <c r="M27" s="62" t="str">
        <f>IF(C27="","",VLOOKUP(A27,B23:N50,11,FALSE)+L27)</f>
        <v/>
      </c>
      <c r="N27" s="155"/>
      <c r="S27" s="138">
        <f t="shared" si="4"/>
        <v>0</v>
      </c>
      <c r="T27" s="138">
        <f t="shared" si="5"/>
        <v>0</v>
      </c>
    </row>
    <row r="28" spans="1:20" ht="15">
      <c r="A28" s="167"/>
      <c r="B28" s="168"/>
      <c r="C28" s="169"/>
      <c r="D28" s="169"/>
      <c r="E28" s="170"/>
      <c r="F28" s="58" t="str">
        <f t="shared" si="2"/>
        <v/>
      </c>
      <c r="G28" s="59" t="str">
        <f t="shared" si="3"/>
        <v/>
      </c>
      <c r="H28" s="183"/>
      <c r="I28" s="183"/>
      <c r="J28" s="59" t="str">
        <f>IF(OR(H28="",$D$10="",$N$10=""),"",IF($D$10="COBRE",VLOOKUP(CDV_PROY_AP!H28,FDV!$B$16:$E$24,IF(CDV_PROY_AP!$N$10="3F",3,4),FALSE),IF($D$10="ACS",VLOOKUP(CDV_PROY_AP!H28,FDV!$B$10:$E$15,IF(CDV_PROY_AP!$N$10="3F",3,4),FALSE),IF($D$10="5005 (PREENSAMBLADO)",VLOOKUP(CDV_PROY_AP!H28,FDV!$B$4:$E$9,IF(CDV_PROY_AP!$N$10="3F",3,4),FALSE),VLOOKUP(CDV_PROY_AP!H28,FDV!$B$25:$E$30,IF(CDV_PROY_AP!$N$10="3F",3,4),FALSE)))))</f>
        <v/>
      </c>
      <c r="K28" s="63" t="str">
        <f t="shared" si="0"/>
        <v/>
      </c>
      <c r="L28" s="62" t="str">
        <f t="shared" si="1"/>
        <v/>
      </c>
      <c r="M28" s="62" t="str">
        <f>IF(C28="","",VLOOKUP(A28,B23:N50,11,FALSE)+L28)</f>
        <v/>
      </c>
      <c r="N28" s="155"/>
      <c r="S28" s="138">
        <f t="shared" si="4"/>
        <v>0</v>
      </c>
      <c r="T28" s="138">
        <f t="shared" si="5"/>
        <v>0</v>
      </c>
    </row>
    <row r="29" spans="1:20" ht="15">
      <c r="A29" s="167"/>
      <c r="B29" s="168"/>
      <c r="C29" s="169"/>
      <c r="D29" s="169"/>
      <c r="E29" s="170"/>
      <c r="F29" s="58" t="str">
        <f t="shared" si="2"/>
        <v/>
      </c>
      <c r="G29" s="59" t="str">
        <f t="shared" si="3"/>
        <v/>
      </c>
      <c r="H29" s="183"/>
      <c r="I29" s="183"/>
      <c r="J29" s="59" t="str">
        <f>IF(OR(H29="",$D$10="",$N$10=""),"",IF($D$10="COBRE",VLOOKUP(CDV_PROY_AP!H29,FDV!$B$16:$E$24,IF(CDV_PROY_AP!$N$10="3F",3,4),FALSE),IF($D$10="ACS",VLOOKUP(CDV_PROY_AP!H29,FDV!$B$10:$E$15,IF(CDV_PROY_AP!$N$10="3F",3,4),FALSE),IF($D$10="5005 (PREENSAMBLADO)",VLOOKUP(CDV_PROY_AP!H29,FDV!$B$4:$E$9,IF(CDV_PROY_AP!$N$10="3F",3,4),FALSE),VLOOKUP(CDV_PROY_AP!H29,FDV!$B$25:$E$30,IF(CDV_PROY_AP!$N$10="3F",3,4),FALSE)))))</f>
        <v/>
      </c>
      <c r="K29" s="63" t="str">
        <f t="shared" si="0"/>
        <v/>
      </c>
      <c r="L29" s="62" t="str">
        <f t="shared" si="1"/>
        <v/>
      </c>
      <c r="M29" s="62" t="str">
        <f>IF(C29="","",VLOOKUP(A29,B23:N50,11,FALSE)+L29)</f>
        <v/>
      </c>
      <c r="N29" s="155"/>
      <c r="S29" s="138">
        <f t="shared" si="4"/>
        <v>0</v>
      </c>
      <c r="T29" s="138">
        <f t="shared" si="5"/>
        <v>0</v>
      </c>
    </row>
    <row r="30" spans="1:20" ht="15">
      <c r="A30" s="167"/>
      <c r="B30" s="168"/>
      <c r="C30" s="169"/>
      <c r="D30" s="169"/>
      <c r="E30" s="170"/>
      <c r="F30" s="58" t="str">
        <f t="shared" si="2"/>
        <v/>
      </c>
      <c r="G30" s="59" t="str">
        <f t="shared" si="3"/>
        <v/>
      </c>
      <c r="H30" s="183"/>
      <c r="I30" s="183"/>
      <c r="J30" s="59" t="str">
        <f>IF(OR(H30="",$D$10="",$N$10=""),"",IF($D$10="COBRE",VLOOKUP(CDV_PROY_AP!H30,FDV!$B$16:$E$24,IF(CDV_PROY_AP!$N$10="3F",3,4),FALSE),IF($D$10="ACS",VLOOKUP(CDV_PROY_AP!H30,FDV!$B$10:$E$15,IF(CDV_PROY_AP!$N$10="3F",3,4),FALSE),IF($D$10="5005 (PREENSAMBLADO)",VLOOKUP(CDV_PROY_AP!H30,FDV!$B$4:$E$9,IF(CDV_PROY_AP!$N$10="3F",3,4),FALSE),VLOOKUP(CDV_PROY_AP!H30,FDV!$B$25:$E$30,IF(CDV_PROY_AP!$N$10="3F",3,4),FALSE)))))</f>
        <v/>
      </c>
      <c r="K30" s="63" t="str">
        <f t="shared" si="0"/>
        <v/>
      </c>
      <c r="L30" s="62" t="str">
        <f t="shared" si="1"/>
        <v/>
      </c>
      <c r="M30" s="62" t="str">
        <f>IF(C30="","",VLOOKUP(A30,B23:N50,11,FALSE)+L30)</f>
        <v/>
      </c>
      <c r="N30" s="155"/>
      <c r="S30" s="138">
        <f t="shared" si="4"/>
        <v>0</v>
      </c>
      <c r="T30" s="138">
        <f t="shared" si="5"/>
        <v>0</v>
      </c>
    </row>
    <row r="31" spans="1:20" ht="15">
      <c r="A31" s="171"/>
      <c r="B31" s="172"/>
      <c r="C31" s="173"/>
      <c r="D31" s="173"/>
      <c r="E31" s="170"/>
      <c r="F31" s="58" t="str">
        <f t="shared" si="2"/>
        <v/>
      </c>
      <c r="G31" s="59" t="str">
        <f t="shared" si="3"/>
        <v/>
      </c>
      <c r="H31" s="183"/>
      <c r="I31" s="183"/>
      <c r="J31" s="59" t="str">
        <f>IF(OR(H31="",$D$10="",$N$10=""),"",IF($D$10="COBRE",VLOOKUP(CDV_PROY_AP!H31,FDV!$B$16:$E$24,IF(CDV_PROY_AP!$N$10="3F",3,4),FALSE),IF($D$10="ACS",VLOOKUP(CDV_PROY_AP!H31,FDV!$B$10:$E$15,IF(CDV_PROY_AP!$N$10="3F",3,4),FALSE),IF($D$10="5005 (PREENSAMBLADO)",VLOOKUP(CDV_PROY_AP!H31,FDV!$B$4:$E$9,IF(CDV_PROY_AP!$N$10="3F",3,4),FALSE),VLOOKUP(CDV_PROY_AP!H31,FDV!$B$25:$E$30,IF(CDV_PROY_AP!$N$10="3F",3,4),FALSE)))))</f>
        <v/>
      </c>
      <c r="K31" s="63" t="str">
        <f t="shared" si="0"/>
        <v/>
      </c>
      <c r="L31" s="62" t="str">
        <f t="shared" si="1"/>
        <v/>
      </c>
      <c r="M31" s="62" t="str">
        <f>IF(C31="","",VLOOKUP(A31,B23:N50,11,FALSE)+L31)</f>
        <v/>
      </c>
      <c r="N31" s="155"/>
      <c r="S31" s="138">
        <f t="shared" si="4"/>
        <v>0</v>
      </c>
      <c r="T31" s="138">
        <f t="shared" si="5"/>
        <v>0</v>
      </c>
    </row>
    <row r="32" spans="1:20" ht="15">
      <c r="A32" s="167"/>
      <c r="B32" s="168"/>
      <c r="C32" s="169"/>
      <c r="D32" s="169"/>
      <c r="E32" s="174"/>
      <c r="F32" s="58" t="str">
        <f t="shared" si="2"/>
        <v/>
      </c>
      <c r="G32" s="59" t="str">
        <f t="shared" si="3"/>
        <v/>
      </c>
      <c r="H32" s="183"/>
      <c r="I32" s="183"/>
      <c r="J32" s="59" t="str">
        <f>IF(OR(H32="",$D$10="",$N$10=""),"",IF($D$10="COBRE",VLOOKUP(CDV_PROY_AP!H32,FDV!$B$16:$E$24,IF(CDV_PROY_AP!$N$10="3F",3,4),FALSE),IF($D$10="ACS",VLOOKUP(CDV_PROY_AP!H32,FDV!$B$10:$E$15,IF(CDV_PROY_AP!$N$10="3F",3,4),FALSE),IF($D$10="5005 (PREENSAMBLADO)",VLOOKUP(CDV_PROY_AP!H32,FDV!$B$4:$E$9,IF(CDV_PROY_AP!$N$10="3F",3,4),FALSE),VLOOKUP(CDV_PROY_AP!H32,FDV!$B$25:$E$30,IF(CDV_PROY_AP!$N$10="3F",3,4),FALSE)))))</f>
        <v/>
      </c>
      <c r="K32" s="63" t="str">
        <f t="shared" si="0"/>
        <v/>
      </c>
      <c r="L32" s="62" t="str">
        <f t="shared" si="1"/>
        <v/>
      </c>
      <c r="M32" s="62" t="str">
        <f>IF(C32="","",VLOOKUP(A32,B23:N50,11,FALSE)+L32)</f>
        <v/>
      </c>
      <c r="N32" s="155"/>
      <c r="S32" s="138">
        <f t="shared" si="4"/>
        <v>0</v>
      </c>
      <c r="T32" s="138">
        <f t="shared" si="5"/>
        <v>0</v>
      </c>
    </row>
    <row r="33" spans="1:20" ht="15">
      <c r="A33" s="175"/>
      <c r="B33" s="176"/>
      <c r="C33" s="177"/>
      <c r="D33" s="177"/>
      <c r="E33" s="170"/>
      <c r="F33" s="58" t="str">
        <f t="shared" si="2"/>
        <v/>
      </c>
      <c r="G33" s="59" t="str">
        <f t="shared" si="3"/>
        <v/>
      </c>
      <c r="H33" s="183"/>
      <c r="I33" s="183"/>
      <c r="J33" s="59" t="str">
        <f>IF(OR(H33="",$D$10="",$N$10=""),"",IF($D$10="COBRE",VLOOKUP(CDV_PROY_AP!H33,FDV!$B$16:$E$24,IF(CDV_PROY_AP!$N$10="3F",3,4),FALSE),IF($D$10="ACS",VLOOKUP(CDV_PROY_AP!H33,FDV!$B$10:$E$15,IF(CDV_PROY_AP!$N$10="3F",3,4),FALSE),IF($D$10="5005 (PREENSAMBLADO)",VLOOKUP(CDV_PROY_AP!H33,FDV!$B$4:$E$9,IF(CDV_PROY_AP!$N$10="3F",3,4),FALSE),VLOOKUP(CDV_PROY_AP!H33,FDV!$B$25:$E$30,IF(CDV_PROY_AP!$N$10="3F",3,4),FALSE)))))</f>
        <v/>
      </c>
      <c r="K33" s="63" t="str">
        <f t="shared" si="0"/>
        <v/>
      </c>
      <c r="L33" s="62" t="str">
        <f t="shared" si="1"/>
        <v/>
      </c>
      <c r="M33" s="62" t="str">
        <f>IF(C33="","",VLOOKUP(A33,B23:N50,11,FALSE)+L33)</f>
        <v/>
      </c>
      <c r="N33" s="155"/>
      <c r="S33" s="138">
        <f t="shared" si="4"/>
        <v>0</v>
      </c>
      <c r="T33" s="138">
        <f t="shared" si="5"/>
        <v>0</v>
      </c>
    </row>
    <row r="34" spans="1:20" ht="15">
      <c r="A34" s="167"/>
      <c r="B34" s="168"/>
      <c r="C34" s="169"/>
      <c r="D34" s="169"/>
      <c r="E34" s="170"/>
      <c r="F34" s="58" t="str">
        <f t="shared" si="2"/>
        <v/>
      </c>
      <c r="G34" s="59" t="str">
        <f t="shared" si="3"/>
        <v/>
      </c>
      <c r="H34" s="183"/>
      <c r="I34" s="183"/>
      <c r="J34" s="59" t="str">
        <f>IF(OR(H34="",$D$10="",$N$10=""),"",IF($D$10="COBRE",VLOOKUP(CDV_PROY_AP!H34,FDV!$B$16:$E$24,IF(CDV_PROY_AP!$N$10="3F",3,4),FALSE),IF($D$10="ACS",VLOOKUP(CDV_PROY_AP!H34,FDV!$B$10:$E$15,IF(CDV_PROY_AP!$N$10="3F",3,4),FALSE),IF($D$10="5005 (PREENSAMBLADO)",VLOOKUP(CDV_PROY_AP!H34,FDV!$B$4:$E$9,IF(CDV_PROY_AP!$N$10="3F",3,4),FALSE),VLOOKUP(CDV_PROY_AP!H34,FDV!$B$25:$E$30,IF(CDV_PROY_AP!$N$10="3F",3,4),FALSE)))))</f>
        <v/>
      </c>
      <c r="K34" s="63" t="str">
        <f t="shared" si="0"/>
        <v/>
      </c>
      <c r="L34" s="62" t="str">
        <f t="shared" si="1"/>
        <v/>
      </c>
      <c r="M34" s="62" t="str">
        <f>IF(C34="","",VLOOKUP(A34,B23:N50,11,FALSE)+L34)</f>
        <v/>
      </c>
      <c r="N34" s="155"/>
      <c r="S34" s="138">
        <f t="shared" si="4"/>
        <v>0</v>
      </c>
      <c r="T34" s="138">
        <f t="shared" si="5"/>
        <v>0</v>
      </c>
    </row>
    <row r="35" spans="1:20" ht="15">
      <c r="A35" s="167"/>
      <c r="B35" s="168"/>
      <c r="C35" s="169"/>
      <c r="D35" s="169"/>
      <c r="E35" s="170"/>
      <c r="F35" s="58" t="str">
        <f t="shared" si="2"/>
        <v/>
      </c>
      <c r="G35" s="59" t="str">
        <f t="shared" si="3"/>
        <v/>
      </c>
      <c r="H35" s="183"/>
      <c r="I35" s="183"/>
      <c r="J35" s="59" t="str">
        <f>IF(OR(H35="",$D$10="",$N$10=""),"",IF($D$10="COBRE",VLOOKUP(CDV_PROY_AP!H35,FDV!$B$16:$E$24,IF(CDV_PROY_AP!$N$10="3F",3,4),FALSE),IF($D$10="ACS",VLOOKUP(CDV_PROY_AP!H35,FDV!$B$10:$E$15,IF(CDV_PROY_AP!$N$10="3F",3,4),FALSE),IF($D$10="5005 (PREENSAMBLADO)",VLOOKUP(CDV_PROY_AP!H35,FDV!$B$4:$E$9,IF(CDV_PROY_AP!$N$10="3F",3,4),FALSE),VLOOKUP(CDV_PROY_AP!H35,FDV!$B$25:$E$30,IF(CDV_PROY_AP!$N$10="3F",3,4),FALSE)))))</f>
        <v/>
      </c>
      <c r="K35" s="63" t="str">
        <f t="shared" si="0"/>
        <v/>
      </c>
      <c r="L35" s="62" t="str">
        <f t="shared" si="1"/>
        <v/>
      </c>
      <c r="M35" s="62" t="str">
        <f>IF(C35="","",VLOOKUP(A35,B23:N50,11,FALSE)+L35)</f>
        <v/>
      </c>
      <c r="N35" s="155"/>
      <c r="S35" s="138">
        <f t="shared" si="4"/>
        <v>0</v>
      </c>
      <c r="T35" s="138">
        <f t="shared" si="5"/>
        <v>0</v>
      </c>
    </row>
    <row r="36" spans="1:20" ht="15">
      <c r="A36" s="167"/>
      <c r="B36" s="168"/>
      <c r="C36" s="169"/>
      <c r="D36" s="169"/>
      <c r="E36" s="170"/>
      <c r="F36" s="58" t="str">
        <f t="shared" si="2"/>
        <v/>
      </c>
      <c r="G36" s="59" t="str">
        <f t="shared" si="3"/>
        <v/>
      </c>
      <c r="H36" s="183"/>
      <c r="I36" s="183"/>
      <c r="J36" s="59" t="str">
        <f>IF(OR(H36="",$D$10="",$N$10=""),"",IF($D$10="COBRE",VLOOKUP(CDV_PROY_AP!H36,FDV!$B$16:$E$24,IF(CDV_PROY_AP!$N$10="3F",3,4),FALSE),IF($D$10="ACS",VLOOKUP(CDV_PROY_AP!H36,FDV!$B$10:$E$15,IF(CDV_PROY_AP!$N$10="3F",3,4),FALSE),IF($D$10="5005 (PREENSAMBLADO)",VLOOKUP(CDV_PROY_AP!H36,FDV!$B$4:$E$9,IF(CDV_PROY_AP!$N$10="3F",3,4),FALSE),VLOOKUP(CDV_PROY_AP!H36,FDV!$B$25:$E$30,IF(CDV_PROY_AP!$N$10="3F",3,4),FALSE)))))</f>
        <v/>
      </c>
      <c r="K36" s="63" t="str">
        <f t="shared" si="0"/>
        <v/>
      </c>
      <c r="L36" s="62" t="str">
        <f t="shared" si="1"/>
        <v/>
      </c>
      <c r="M36" s="62" t="str">
        <f>IF(C36="","",VLOOKUP(A36,B23:N50,11,FALSE)+L36)</f>
        <v/>
      </c>
      <c r="N36" s="155"/>
      <c r="S36" s="138">
        <f t="shared" si="4"/>
        <v>0</v>
      </c>
      <c r="T36" s="138">
        <f t="shared" si="5"/>
        <v>0</v>
      </c>
    </row>
    <row r="37" spans="1:20" ht="15">
      <c r="A37" s="167"/>
      <c r="B37" s="168"/>
      <c r="C37" s="169"/>
      <c r="D37" s="169"/>
      <c r="E37" s="170"/>
      <c r="F37" s="58" t="str">
        <f t="shared" si="2"/>
        <v/>
      </c>
      <c r="G37" s="59" t="str">
        <f t="shared" si="3"/>
        <v/>
      </c>
      <c r="H37" s="183"/>
      <c r="I37" s="183"/>
      <c r="J37" s="59" t="str">
        <f>IF(OR(H37="",$D$10="",$N$10=""),"",IF($D$10="COBRE",VLOOKUP(CDV_PROY_AP!H37,FDV!$B$16:$E$24,IF(CDV_PROY_AP!$N$10="3F",3,4),FALSE),IF($D$10="ACS",VLOOKUP(CDV_PROY_AP!H37,FDV!$B$10:$E$15,IF(CDV_PROY_AP!$N$10="3F",3,4),FALSE),IF($D$10="5005 (PREENSAMBLADO)",VLOOKUP(CDV_PROY_AP!H37,FDV!$B$4:$E$9,IF(CDV_PROY_AP!$N$10="3F",3,4),FALSE),VLOOKUP(CDV_PROY_AP!H37,FDV!$B$25:$E$30,IF(CDV_PROY_AP!$N$10="3F",3,4),FALSE)))))</f>
        <v/>
      </c>
      <c r="K37" s="63" t="str">
        <f t="shared" si="0"/>
        <v/>
      </c>
      <c r="L37" s="62" t="str">
        <f t="shared" si="1"/>
        <v/>
      </c>
      <c r="M37" s="62" t="str">
        <f>IF(C37="","",VLOOKUP(A37,B23:N50,11,FALSE)+L37)</f>
        <v/>
      </c>
      <c r="N37" s="155"/>
      <c r="S37" s="138">
        <f t="shared" si="4"/>
        <v>0</v>
      </c>
      <c r="T37" s="138">
        <f t="shared" si="5"/>
        <v>0</v>
      </c>
    </row>
    <row r="38" spans="1:20" ht="15">
      <c r="A38" s="167"/>
      <c r="B38" s="168"/>
      <c r="C38" s="169"/>
      <c r="D38" s="169"/>
      <c r="E38" s="170"/>
      <c r="F38" s="58" t="str">
        <f t="shared" si="2"/>
        <v/>
      </c>
      <c r="G38" s="59" t="str">
        <f t="shared" si="3"/>
        <v/>
      </c>
      <c r="H38" s="183"/>
      <c r="I38" s="183"/>
      <c r="J38" s="59" t="str">
        <f>IF(OR(H38="",$D$10="",$N$10=""),"",IF($D$10="COBRE",VLOOKUP(CDV_PROY_AP!H38,FDV!$B$16:$E$24,IF(CDV_PROY_AP!$N$10="3F",3,4),FALSE),IF($D$10="ACS",VLOOKUP(CDV_PROY_AP!H38,FDV!$B$10:$E$15,IF(CDV_PROY_AP!$N$10="3F",3,4),FALSE),IF($D$10="5005 (PREENSAMBLADO)",VLOOKUP(CDV_PROY_AP!H38,FDV!$B$4:$E$9,IF(CDV_PROY_AP!$N$10="3F",3,4),FALSE),VLOOKUP(CDV_PROY_AP!H38,FDV!$B$25:$E$30,IF(CDV_PROY_AP!$N$10="3F",3,4),FALSE)))))</f>
        <v/>
      </c>
      <c r="K38" s="63" t="str">
        <f t="shared" si="0"/>
        <v/>
      </c>
      <c r="L38" s="62" t="str">
        <f t="shared" si="1"/>
        <v/>
      </c>
      <c r="M38" s="62" t="str">
        <f>IF(C38="","",VLOOKUP(A38,B23:N50,11,FALSE)+L38)</f>
        <v/>
      </c>
      <c r="N38" s="155"/>
      <c r="S38" s="138">
        <f t="shared" si="4"/>
        <v>0</v>
      </c>
      <c r="T38" s="138">
        <f t="shared" si="5"/>
        <v>0</v>
      </c>
    </row>
    <row r="39" spans="1:20" ht="15">
      <c r="A39" s="167"/>
      <c r="B39" s="168"/>
      <c r="C39" s="169"/>
      <c r="D39" s="169"/>
      <c r="E39" s="170"/>
      <c r="F39" s="58" t="str">
        <f t="shared" si="2"/>
        <v/>
      </c>
      <c r="G39" s="59" t="str">
        <f t="shared" si="3"/>
        <v/>
      </c>
      <c r="H39" s="183"/>
      <c r="I39" s="183"/>
      <c r="J39" s="59" t="str">
        <f>IF(OR(H39="",$D$10="",$N$10=""),"",IF($D$10="COBRE",VLOOKUP(CDV_PROY_AP!H39,FDV!$B$16:$E$24,IF(CDV_PROY_AP!$N$10="3F",3,4),FALSE),IF($D$10="ACS",VLOOKUP(CDV_PROY_AP!H39,FDV!$B$10:$E$15,IF(CDV_PROY_AP!$N$10="3F",3,4),FALSE),IF($D$10="5005 (PREENSAMBLADO)",VLOOKUP(CDV_PROY_AP!H39,FDV!$B$4:$E$9,IF(CDV_PROY_AP!$N$10="3F",3,4),FALSE),VLOOKUP(CDV_PROY_AP!H39,FDV!$B$25:$E$30,IF(CDV_PROY_AP!$N$10="3F",3,4),FALSE)))))</f>
        <v/>
      </c>
      <c r="K39" s="63" t="str">
        <f t="shared" si="0"/>
        <v/>
      </c>
      <c r="L39" s="62" t="str">
        <f t="shared" si="1"/>
        <v/>
      </c>
      <c r="M39" s="62" t="str">
        <f>IF(C39="","",VLOOKUP(A39,B23:N50,11,FALSE)+L39)</f>
        <v/>
      </c>
      <c r="N39" s="155"/>
      <c r="S39" s="138">
        <f t="shared" si="4"/>
        <v>0</v>
      </c>
      <c r="T39" s="138">
        <f t="shared" si="5"/>
        <v>0</v>
      </c>
    </row>
    <row r="40" spans="1:20" ht="15">
      <c r="A40" s="167"/>
      <c r="B40" s="168"/>
      <c r="C40" s="169"/>
      <c r="D40" s="169"/>
      <c r="E40" s="170"/>
      <c r="F40" s="58" t="str">
        <f t="shared" si="2"/>
        <v/>
      </c>
      <c r="G40" s="59" t="str">
        <f t="shared" si="3"/>
        <v/>
      </c>
      <c r="H40" s="183"/>
      <c r="I40" s="183"/>
      <c r="J40" s="59" t="str">
        <f>IF(OR(H40="",$D$10="",$N$10=""),"",IF($D$10="COBRE",VLOOKUP(CDV_PROY_AP!H40,FDV!$B$16:$E$24,IF(CDV_PROY_AP!$N$10="3F",3,4),FALSE),IF($D$10="ACS",VLOOKUP(CDV_PROY_AP!H40,FDV!$B$10:$E$15,IF(CDV_PROY_AP!$N$10="3F",3,4),FALSE),IF($D$10="5005 (PREENSAMBLADO)",VLOOKUP(CDV_PROY_AP!H40,FDV!$B$4:$E$9,IF(CDV_PROY_AP!$N$10="3F",3,4),FALSE),VLOOKUP(CDV_PROY_AP!H40,FDV!$B$25:$E$30,IF(CDV_PROY_AP!$N$10="3F",3,4),FALSE)))))</f>
        <v/>
      </c>
      <c r="K40" s="63" t="str">
        <f t="shared" si="0"/>
        <v/>
      </c>
      <c r="L40" s="62" t="str">
        <f t="shared" si="1"/>
        <v/>
      </c>
      <c r="M40" s="62" t="str">
        <f>IF(C40="","",VLOOKUP(A40,B23:N50,11,FALSE)+L40)</f>
        <v/>
      </c>
      <c r="N40" s="155"/>
      <c r="S40" s="138">
        <f t="shared" si="4"/>
        <v>0</v>
      </c>
      <c r="T40" s="138">
        <f t="shared" si="5"/>
        <v>0</v>
      </c>
    </row>
    <row r="41" spans="1:20" ht="15">
      <c r="A41" s="167"/>
      <c r="B41" s="168"/>
      <c r="C41" s="169"/>
      <c r="D41" s="169"/>
      <c r="E41" s="170"/>
      <c r="F41" s="58" t="str">
        <f t="shared" si="2"/>
        <v/>
      </c>
      <c r="G41" s="59" t="str">
        <f t="shared" si="3"/>
        <v/>
      </c>
      <c r="H41" s="183"/>
      <c r="I41" s="183"/>
      <c r="J41" s="59" t="str">
        <f>IF(OR(H41="",$D$10="",$N$10=""),"",IF($D$10="COBRE",VLOOKUP(CDV_PROY_AP!H41,FDV!$B$16:$E$24,IF(CDV_PROY_AP!$N$10="3F",3,4),FALSE),IF($D$10="ACS",VLOOKUP(CDV_PROY_AP!H41,FDV!$B$10:$E$15,IF(CDV_PROY_AP!$N$10="3F",3,4),FALSE),IF($D$10="5005 (PREENSAMBLADO)",VLOOKUP(CDV_PROY_AP!H41,FDV!$B$4:$E$9,IF(CDV_PROY_AP!$N$10="3F",3,4),FALSE),VLOOKUP(CDV_PROY_AP!H41,FDV!$B$25:$E$30,IF(CDV_PROY_AP!$N$10="3F",3,4),FALSE)))))</f>
        <v/>
      </c>
      <c r="K41" s="63" t="str">
        <f t="shared" si="0"/>
        <v/>
      </c>
      <c r="L41" s="62" t="str">
        <f t="shared" si="1"/>
        <v/>
      </c>
      <c r="M41" s="62" t="str">
        <f>IF(C41="","",VLOOKUP(A41,B23:N50,11,FALSE)+L41)</f>
        <v/>
      </c>
      <c r="N41" s="155"/>
      <c r="S41" s="138">
        <f t="shared" si="4"/>
        <v>0</v>
      </c>
      <c r="T41" s="138">
        <f t="shared" si="5"/>
        <v>0</v>
      </c>
    </row>
    <row r="42" spans="1:20" ht="15">
      <c r="A42" s="167"/>
      <c r="B42" s="168"/>
      <c r="C42" s="169"/>
      <c r="D42" s="169"/>
      <c r="E42" s="170"/>
      <c r="F42" s="58" t="str">
        <f t="shared" si="2"/>
        <v/>
      </c>
      <c r="G42" s="59" t="str">
        <f t="shared" si="3"/>
        <v/>
      </c>
      <c r="H42" s="183"/>
      <c r="I42" s="183"/>
      <c r="J42" s="59" t="str">
        <f>IF(OR(H42="",$D$10="",$N$10=""),"",IF($D$10="COBRE",VLOOKUP(CDV_PROY_AP!H42,FDV!$B$16:$E$24,IF(CDV_PROY_AP!$N$10="3F",3,4),FALSE),IF($D$10="ACS",VLOOKUP(CDV_PROY_AP!H42,FDV!$B$10:$E$15,IF(CDV_PROY_AP!$N$10="3F",3,4),FALSE),IF($D$10="5005 (PREENSAMBLADO)",VLOOKUP(CDV_PROY_AP!H42,FDV!$B$4:$E$9,IF(CDV_PROY_AP!$N$10="3F",3,4),FALSE),VLOOKUP(CDV_PROY_AP!H42,FDV!$B$25:$E$30,IF(CDV_PROY_AP!$N$10="3F",3,4),FALSE)))))</f>
        <v/>
      </c>
      <c r="K42" s="63" t="str">
        <f t="shared" si="0"/>
        <v/>
      </c>
      <c r="L42" s="62" t="str">
        <f t="shared" si="1"/>
        <v/>
      </c>
      <c r="M42" s="62" t="str">
        <f>IF(C42="","",VLOOKUP(A42,B23:N50,11,FALSE)+L42)</f>
        <v/>
      </c>
      <c r="N42" s="155"/>
      <c r="S42" s="138">
        <f t="shared" si="4"/>
        <v>0</v>
      </c>
      <c r="T42" s="138">
        <f t="shared" si="5"/>
        <v>0</v>
      </c>
    </row>
    <row r="43" spans="1:20" ht="15">
      <c r="A43" s="167"/>
      <c r="B43" s="168"/>
      <c r="C43" s="169"/>
      <c r="D43" s="169"/>
      <c r="E43" s="170"/>
      <c r="F43" s="58" t="str">
        <f t="shared" si="2"/>
        <v/>
      </c>
      <c r="G43" s="59" t="str">
        <f t="shared" si="3"/>
        <v/>
      </c>
      <c r="H43" s="183"/>
      <c r="I43" s="183"/>
      <c r="J43" s="59" t="str">
        <f>IF(OR(H43="",$D$10="",$N$10=""),"",IF($D$10="COBRE",VLOOKUP(CDV_PROY_AP!H43,FDV!$B$16:$E$24,IF(CDV_PROY_AP!$N$10="3F",3,4),FALSE),IF($D$10="ACS",VLOOKUP(CDV_PROY_AP!H43,FDV!$B$10:$E$15,IF(CDV_PROY_AP!$N$10="3F",3,4),FALSE),IF($D$10="5005 (PREENSAMBLADO)",VLOOKUP(CDV_PROY_AP!H43,FDV!$B$4:$E$9,IF(CDV_PROY_AP!$N$10="3F",3,4),FALSE),VLOOKUP(CDV_PROY_AP!H43,FDV!$B$25:$E$30,IF(CDV_PROY_AP!$N$10="3F",3,4),FALSE)))))</f>
        <v/>
      </c>
      <c r="K43" s="63" t="str">
        <f t="shared" si="0"/>
        <v/>
      </c>
      <c r="L43" s="62" t="str">
        <f t="shared" si="1"/>
        <v/>
      </c>
      <c r="M43" s="62" t="str">
        <f>IF(C43="","",VLOOKUP(A43,B23:N50,11,FALSE)+L43)</f>
        <v/>
      </c>
      <c r="N43" s="155"/>
      <c r="S43" s="138">
        <f t="shared" si="4"/>
        <v>0</v>
      </c>
      <c r="T43" s="138">
        <f t="shared" si="5"/>
        <v>0</v>
      </c>
    </row>
    <row r="44" spans="1:20" ht="15">
      <c r="A44" s="167"/>
      <c r="B44" s="168"/>
      <c r="C44" s="169"/>
      <c r="D44" s="169"/>
      <c r="E44" s="170"/>
      <c r="F44" s="58" t="str">
        <f t="shared" si="2"/>
        <v/>
      </c>
      <c r="G44" s="59" t="str">
        <f t="shared" si="3"/>
        <v/>
      </c>
      <c r="H44" s="183"/>
      <c r="I44" s="183"/>
      <c r="J44" s="59" t="str">
        <f>IF(OR(H44="",$D$10="",$N$10=""),"",IF($D$10="COBRE",VLOOKUP(CDV_PROY_AP!H44,FDV!$B$16:$E$24,IF(CDV_PROY_AP!$N$10="3F",3,4),FALSE),IF($D$10="ACS",VLOOKUP(CDV_PROY_AP!H44,FDV!$B$10:$E$15,IF(CDV_PROY_AP!$N$10="3F",3,4),FALSE),IF($D$10="5005 (PREENSAMBLADO)",VLOOKUP(CDV_PROY_AP!H44,FDV!$B$4:$E$9,IF(CDV_PROY_AP!$N$10="3F",3,4),FALSE),VLOOKUP(CDV_PROY_AP!H44,FDV!$B$25:$E$30,IF(CDV_PROY_AP!$N$10="3F",3,4),FALSE)))))</f>
        <v/>
      </c>
      <c r="K44" s="63" t="str">
        <f t="shared" si="0"/>
        <v/>
      </c>
      <c r="L44" s="62" t="str">
        <f t="shared" si="1"/>
        <v/>
      </c>
      <c r="M44" s="62" t="str">
        <f>IF(C44="","",VLOOKUP(A44,B23:N50,11,FALSE)+L44)</f>
        <v/>
      </c>
      <c r="N44" s="155"/>
      <c r="S44" s="138">
        <f t="shared" si="4"/>
        <v>0</v>
      </c>
      <c r="T44" s="138">
        <f t="shared" si="5"/>
        <v>0</v>
      </c>
    </row>
    <row r="45" spans="1:20" ht="15">
      <c r="A45" s="167"/>
      <c r="B45" s="168"/>
      <c r="C45" s="169"/>
      <c r="D45" s="169"/>
      <c r="E45" s="170"/>
      <c r="F45" s="58" t="str">
        <f t="shared" si="2"/>
        <v/>
      </c>
      <c r="G45" s="59" t="str">
        <f t="shared" si="3"/>
        <v/>
      </c>
      <c r="H45" s="183"/>
      <c r="I45" s="183"/>
      <c r="J45" s="59" t="str">
        <f>IF(OR(H45="",$D$10="",$N$10=""),"",IF($D$10="COBRE",VLOOKUP(CDV_PROY_AP!H45,FDV!$B$16:$E$24,IF(CDV_PROY_AP!$N$10="3F",3,4),FALSE),IF($D$10="ACS",VLOOKUP(CDV_PROY_AP!H45,FDV!$B$10:$E$15,IF(CDV_PROY_AP!$N$10="3F",3,4),FALSE),IF($D$10="5005 (PREENSAMBLADO)",VLOOKUP(CDV_PROY_AP!H45,FDV!$B$4:$E$9,IF(CDV_PROY_AP!$N$10="3F",3,4),FALSE),VLOOKUP(CDV_PROY_AP!H45,FDV!$B$25:$E$30,IF(CDV_PROY_AP!$N$10="3F",3,4),FALSE)))))</f>
        <v/>
      </c>
      <c r="K45" s="63" t="str">
        <f t="shared" si="0"/>
        <v/>
      </c>
      <c r="L45" s="62" t="str">
        <f t="shared" si="1"/>
        <v/>
      </c>
      <c r="M45" s="62" t="str">
        <f>IF(C45="","",VLOOKUP(A45,B23:N50,11,FALSE)+L45)</f>
        <v/>
      </c>
      <c r="N45" s="155"/>
      <c r="S45" s="138">
        <f t="shared" si="4"/>
        <v>0</v>
      </c>
      <c r="T45" s="138">
        <f t="shared" si="5"/>
        <v>0</v>
      </c>
    </row>
    <row r="46" spans="1:20" ht="15">
      <c r="A46" s="167"/>
      <c r="B46" s="168"/>
      <c r="C46" s="169"/>
      <c r="D46" s="169"/>
      <c r="E46" s="170"/>
      <c r="F46" s="58" t="str">
        <f t="shared" si="2"/>
        <v/>
      </c>
      <c r="G46" s="59" t="str">
        <f t="shared" si="3"/>
        <v/>
      </c>
      <c r="H46" s="183"/>
      <c r="I46" s="183"/>
      <c r="J46" s="59" t="str">
        <f>IF(OR(H46="",$D$10="",$N$10=""),"",IF($D$10="COBRE",VLOOKUP(CDV_PROY_AP!H46,FDV!$B$16:$E$24,IF(CDV_PROY_AP!$N$10="3F",3,4),FALSE),IF($D$10="ACS",VLOOKUP(CDV_PROY_AP!H46,FDV!$B$10:$E$15,IF(CDV_PROY_AP!$N$10="3F",3,4),FALSE),IF($D$10="5005 (PREENSAMBLADO)",VLOOKUP(CDV_PROY_AP!H46,FDV!$B$4:$E$9,IF(CDV_PROY_AP!$N$10="3F",3,4),FALSE),VLOOKUP(CDV_PROY_AP!H46,FDV!$B$25:$E$30,IF(CDV_PROY_AP!$N$10="3F",3,4),FALSE)))))</f>
        <v/>
      </c>
      <c r="K46" s="63" t="str">
        <f t="shared" si="0"/>
        <v/>
      </c>
      <c r="L46" s="62" t="str">
        <f t="shared" si="1"/>
        <v/>
      </c>
      <c r="M46" s="62" t="str">
        <f>IF(C46="","",VLOOKUP(A46,B23:N50,11,FALSE)+L46)</f>
        <v/>
      </c>
      <c r="N46" s="155"/>
      <c r="S46" s="138">
        <f t="shared" si="4"/>
        <v>0</v>
      </c>
      <c r="T46" s="138">
        <f t="shared" si="5"/>
        <v>0</v>
      </c>
    </row>
    <row r="47" spans="1:20" ht="15">
      <c r="A47" s="167"/>
      <c r="B47" s="168"/>
      <c r="C47" s="169"/>
      <c r="D47" s="169"/>
      <c r="E47" s="170"/>
      <c r="F47" s="58" t="str">
        <f t="shared" si="2"/>
        <v/>
      </c>
      <c r="G47" s="59" t="str">
        <f t="shared" si="3"/>
        <v/>
      </c>
      <c r="H47" s="183"/>
      <c r="I47" s="183"/>
      <c r="J47" s="59" t="str">
        <f>IF(OR(H47="",$D$10="",$N$10=""),"",IF($D$10="COBRE",VLOOKUP(CDV_PROY_AP!H47,FDV!$B$16:$E$24,IF(CDV_PROY_AP!$N$10="3F",3,4),FALSE),IF($D$10="ACS",VLOOKUP(CDV_PROY_AP!H47,FDV!$B$10:$E$15,IF(CDV_PROY_AP!$N$10="3F",3,4),FALSE),IF($D$10="5005 (PREENSAMBLADO)",VLOOKUP(CDV_PROY_AP!H47,FDV!$B$4:$E$9,IF(CDV_PROY_AP!$N$10="3F",3,4),FALSE),VLOOKUP(CDV_PROY_AP!H47,FDV!$B$25:$E$30,IF(CDV_PROY_AP!$N$10="3F",3,4),FALSE)))))</f>
        <v/>
      </c>
      <c r="K47" s="63" t="str">
        <f t="shared" si="0"/>
        <v/>
      </c>
      <c r="L47" s="62" t="str">
        <f t="shared" si="1"/>
        <v/>
      </c>
      <c r="M47" s="62" t="str">
        <f>IF(C47="","",VLOOKUP(A47,B23:N50,11,FALSE)+L47)</f>
        <v/>
      </c>
      <c r="N47" s="155"/>
      <c r="S47" s="138">
        <f t="shared" si="4"/>
        <v>0</v>
      </c>
      <c r="T47" s="138">
        <f t="shared" si="5"/>
        <v>0</v>
      </c>
    </row>
    <row r="48" spans="1:20" ht="15">
      <c r="A48" s="167"/>
      <c r="B48" s="168"/>
      <c r="C48" s="169"/>
      <c r="D48" s="169"/>
      <c r="E48" s="170"/>
      <c r="F48" s="58" t="str">
        <f t="shared" si="2"/>
        <v/>
      </c>
      <c r="G48" s="59" t="str">
        <f t="shared" si="3"/>
        <v/>
      </c>
      <c r="H48" s="183"/>
      <c r="I48" s="183"/>
      <c r="J48" s="59" t="str">
        <f>IF(OR(H48="",$D$10="",$N$10=""),"",IF($D$10="COBRE",VLOOKUP(CDV_PROY_AP!H48,FDV!$B$16:$E$24,IF(CDV_PROY_AP!$N$10="3F",3,4),FALSE),IF($D$10="ACS",VLOOKUP(CDV_PROY_AP!H48,FDV!$B$10:$E$15,IF(CDV_PROY_AP!$N$10="3F",3,4),FALSE),IF($D$10="5005 (PREENSAMBLADO)",VLOOKUP(CDV_PROY_AP!H48,FDV!$B$4:$E$9,IF(CDV_PROY_AP!$N$10="3F",3,4),FALSE),VLOOKUP(CDV_PROY_AP!H48,FDV!$B$25:$E$30,IF(CDV_PROY_AP!$N$10="3F",3,4),FALSE)))))</f>
        <v/>
      </c>
      <c r="K48" s="63" t="str">
        <f t="shared" si="0"/>
        <v/>
      </c>
      <c r="L48" s="62" t="str">
        <f t="shared" si="1"/>
        <v/>
      </c>
      <c r="M48" s="62" t="str">
        <f>IF(C48="","",VLOOKUP(A48,B23:N50,11,FALSE)+L48)</f>
        <v/>
      </c>
      <c r="N48" s="156"/>
      <c r="S48" s="138">
        <f t="shared" si="4"/>
        <v>0</v>
      </c>
      <c r="T48" s="138">
        <f t="shared" si="5"/>
        <v>0</v>
      </c>
    </row>
    <row r="49" spans="1:20" ht="15.75" thickBot="1">
      <c r="A49" s="178"/>
      <c r="B49" s="179"/>
      <c r="C49" s="180"/>
      <c r="D49" s="180"/>
      <c r="E49" s="181"/>
      <c r="F49" s="68" t="str">
        <f t="shared" si="2"/>
        <v/>
      </c>
      <c r="G49" s="69" t="str">
        <f t="shared" si="3"/>
        <v/>
      </c>
      <c r="H49" s="184"/>
      <c r="I49" s="184"/>
      <c r="J49" s="69" t="str">
        <f>IF(OR(H49="",$D$10="",$N$10=""),"",IF($D$10="COBRE",VLOOKUP(CDV_PROY_AP!H49,FDV!$B$16:$E$24,IF(CDV_PROY_AP!$N$10="3F",3,4),FALSE),IF($D$10="ACS",VLOOKUP(CDV_PROY_AP!H49,FDV!$B$10:$E$15,IF(CDV_PROY_AP!$N$10="3F",3,4),FALSE),IF($D$10="5005 (PREENSAMBLADO)",VLOOKUP(CDV_PROY_AP!H49,FDV!$B$4:$E$9,IF(CDV_PROY_AP!$N$10="3F",3,4),FALSE),VLOOKUP(CDV_PROY_AP!H49,FDV!$B$25:$E$30,IF(CDV_PROY_AP!$N$10="3F",3,4),FALSE)))))</f>
        <v/>
      </c>
      <c r="K49" s="65" t="str">
        <f t="shared" si="0"/>
        <v/>
      </c>
      <c r="L49" s="64" t="str">
        <f t="shared" si="1"/>
        <v/>
      </c>
      <c r="M49" s="64" t="str">
        <f>IF(C49="","",VLOOKUP(A49,B23:N50,11,FALSE)+L49)</f>
        <v/>
      </c>
      <c r="N49" s="157" t="str">
        <f aca="true" t="shared" si="6" ref="N49">+M49</f>
        <v/>
      </c>
      <c r="S49" s="138">
        <f t="shared" si="4"/>
        <v>0</v>
      </c>
      <c r="T49" s="138">
        <f t="shared" si="5"/>
        <v>0</v>
      </c>
    </row>
    <row r="50" spans="1:20" ht="15.75" hidden="1" thickBot="1">
      <c r="A50" s="143"/>
      <c r="B50" s="67" t="str">
        <f>IF(N19="","",N19)</f>
        <v/>
      </c>
      <c r="C50" s="144"/>
      <c r="D50" s="144"/>
      <c r="E50" s="145"/>
      <c r="F50" s="68" t="str">
        <f t="shared" si="2"/>
        <v/>
      </c>
      <c r="G50" s="69" t="str">
        <f aca="true" t="shared" si="7" ref="G50">IF(OR($N$10="",D50=""),"",IF($N$10="1F",1,3))</f>
        <v/>
      </c>
      <c r="H50" s="146">
        <v>2</v>
      </c>
      <c r="I50" s="146"/>
      <c r="J50" s="70" t="str">
        <f>IF(OR(H50="",$D$10="",$N$10=""),"",IF($D$10="COBRE",VLOOKUP(CDV_PROY_AP!H50,FDV!$B$16:$E$24,IF(CDV_PROY_AP!$N$10="3F",3,4),FALSE),IF($D$10="ACS",VLOOKUP(CDV_PROY_AP!H50,FDV!$B$10:$E$15,IF(CDV_PROY_AP!$N$10="3F",3,4),FALSE),IF($D$10="5005 (PREENSAMBLADO)",VLOOKUP(CDV_PROY_AP!H50,FDV!$B$4:$E$9,IF(CDV_PROY_AP!$N$10="3F",3,4),FALSE),VLOOKUP(CDV_PROY_AP!H50,FDV!$B$25:$E$30,IF(CDV_PROY_AP!$N$10="3F",3,4),FALSE)))))</f>
        <v/>
      </c>
      <c r="K50" s="71" t="str">
        <f t="shared" si="0"/>
        <v/>
      </c>
      <c r="L50" s="68" t="str">
        <f>IF(C50="","",ROUND(K50/J50,2))</f>
        <v/>
      </c>
      <c r="M50" s="72">
        <v>0</v>
      </c>
      <c r="N50" s="66"/>
      <c r="S50" s="138">
        <f aca="true" t="shared" si="8" ref="S50:S51">+IF(D50&gt;0,C50,0)</f>
        <v>0</v>
      </c>
      <c r="T50" s="138">
        <f t="shared" si="5"/>
        <v>0</v>
      </c>
    </row>
    <row r="51" spans="1:20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93" t="s">
        <v>125</v>
      </c>
      <c r="L51" s="94">
        <f>ROUND((SUMIF(H22:H48,"6",T22:T50))*1.015,0)</f>
        <v>0</v>
      </c>
      <c r="M51" s="128"/>
      <c r="N51" s="313"/>
      <c r="S51" s="138">
        <f t="shared" si="8"/>
        <v>0</v>
      </c>
      <c r="T51" s="138">
        <f t="shared" si="5"/>
        <v>0</v>
      </c>
    </row>
    <row r="52" spans="1:14" ht="15.75" thickBot="1">
      <c r="A52" s="93" t="s">
        <v>96</v>
      </c>
      <c r="B52" s="94">
        <f>+ROUND(SUMIF(H23:H49,"4/0",T23:T51)*1.015,0)</f>
        <v>0</v>
      </c>
      <c r="C52" s="93" t="s">
        <v>97</v>
      </c>
      <c r="D52" s="94">
        <f>ROUND((SUMIF(H23:H49,"3/0",T23:T51))*1.015,0)</f>
        <v>0</v>
      </c>
      <c r="E52" s="82" t="s">
        <v>95</v>
      </c>
      <c r="F52" s="81">
        <f>ROUND((SUMIF(H23:H49,"2/0",T23:T51))*1.015,0)</f>
        <v>0</v>
      </c>
      <c r="G52" s="80" t="s">
        <v>57</v>
      </c>
      <c r="H52" s="81">
        <f>ROUND((SUMIF(H23:H49,"1/0",T23:T51))*1.015,0)</f>
        <v>0</v>
      </c>
      <c r="I52" s="93" t="s">
        <v>58</v>
      </c>
      <c r="J52" s="94">
        <f>ROUND((SUMIF(H23:H49,"2",T23:T51))*1.015,0)</f>
        <v>0</v>
      </c>
      <c r="K52" s="93" t="s">
        <v>124</v>
      </c>
      <c r="L52" s="94">
        <f>ROUND((SUMIF(H23:H49,"4",T23:T51))*1.015,0)</f>
        <v>0</v>
      </c>
      <c r="M52" s="92"/>
      <c r="N52" s="314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314"/>
    </row>
    <row r="54" spans="1:14" ht="15.75" thickBot="1">
      <c r="A54" s="93" t="s">
        <v>96</v>
      </c>
      <c r="B54" s="94">
        <f>+ROUND(SUMIF(I23:I49,"4/0",S23:S51)*1.015,0)</f>
        <v>0</v>
      </c>
      <c r="C54" s="93" t="s">
        <v>97</v>
      </c>
      <c r="D54" s="94">
        <f>ROUND((SUMIF(I23:I49,"3/0",S23:S51))*1.015,0)</f>
        <v>0</v>
      </c>
      <c r="E54" s="93" t="s">
        <v>95</v>
      </c>
      <c r="F54" s="94">
        <f>ROUND((SUMIF(I23:I49,"2/0",S23:S51))*1.015,0)</f>
        <v>0</v>
      </c>
      <c r="G54" s="93" t="s">
        <v>57</v>
      </c>
      <c r="H54" s="94">
        <f>ROUND((SUMIF(I23:I49,"1/0",S23:S51))*1.015,0)</f>
        <v>0</v>
      </c>
      <c r="I54" s="93" t="s">
        <v>58</v>
      </c>
      <c r="J54" s="94">
        <f>ROUND((SUMIF(I23:I49,"2",S23:S51))*1.015,0)</f>
        <v>0</v>
      </c>
      <c r="K54" s="93" t="s">
        <v>124</v>
      </c>
      <c r="L54" s="94">
        <f>ROUND((SUMIF(I23:I49,"4",S23:S51))*1.015,0)</f>
        <v>0</v>
      </c>
      <c r="M54" s="92"/>
      <c r="N54" s="314"/>
    </row>
    <row r="55" spans="1:14" ht="15.75" thickBot="1">
      <c r="A55" s="244" t="s">
        <v>123</v>
      </c>
      <c r="B55" s="244"/>
      <c r="C55" s="244"/>
      <c r="D55" s="21" t="str">
        <f>IF(N10="","",SUM(C23:C49))</f>
        <v/>
      </c>
      <c r="E55" s="28" t="s">
        <v>59</v>
      </c>
      <c r="G55" s="21"/>
      <c r="H55" s="21"/>
      <c r="I55" s="21"/>
      <c r="J55" s="21"/>
      <c r="K55" s="93" t="s">
        <v>125</v>
      </c>
      <c r="L55" s="94">
        <f>ROUND((SUMIF(I23:I49,"6",S23:S51))*1.015,0)</f>
        <v>0</v>
      </c>
      <c r="M55" s="23"/>
      <c r="N55" s="83" t="s">
        <v>80</v>
      </c>
    </row>
    <row r="56" spans="1:14" ht="15">
      <c r="A56" s="36" t="s">
        <v>60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9"/>
      <c r="N56" s="84" t="s">
        <v>61</v>
      </c>
    </row>
    <row r="57" spans="1:14" ht="15.75" thickBot="1">
      <c r="A57" s="148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3"/>
      <c r="N57" s="85">
        <f>MAX(N23:N49)</f>
        <v>0</v>
      </c>
    </row>
  </sheetData>
  <mergeCells count="22">
    <mergeCell ref="B57:M57"/>
    <mergeCell ref="T21:T22"/>
    <mergeCell ref="N51:N54"/>
    <mergeCell ref="B56:M56"/>
    <mergeCell ref="D8:F8"/>
    <mergeCell ref="D10:E10"/>
    <mergeCell ref="H13:J13"/>
    <mergeCell ref="H14:J14"/>
    <mergeCell ref="A15:J15"/>
    <mergeCell ref="A21:B21"/>
    <mergeCell ref="G21:J21"/>
    <mergeCell ref="A13:C13"/>
    <mergeCell ref="A14:C14"/>
    <mergeCell ref="K21:K22"/>
    <mergeCell ref="L21:N21"/>
    <mergeCell ref="S21:S22"/>
    <mergeCell ref="M6:N6"/>
    <mergeCell ref="A55:C55"/>
    <mergeCell ref="D6:E6"/>
    <mergeCell ref="F6:G6"/>
    <mergeCell ref="H6:J6"/>
    <mergeCell ref="K6:L6"/>
  </mergeCells>
  <conditionalFormatting sqref="N23:N40 N42:N50">
    <cfRule type="expression" priority="1" dxfId="0" stopIfTrue="1">
      <formula>$V22&gt;0</formula>
    </cfRule>
  </conditionalFormatting>
  <conditionalFormatting sqref="D8">
    <cfRule type="cellIs" priority="2" dxfId="2" operator="equal" stopIfTrue="1">
      <formula>""""""</formula>
    </cfRule>
  </conditionalFormatting>
  <conditionalFormatting sqref="N1 D6 H6 M6 D8 D10 D12 D13 D14 H13 H14 N10 N12 N19">
    <cfRule type="cellIs" priority="3" dxfId="1" operator="equal" stopIfTrue="1">
      <formula>""</formula>
    </cfRule>
  </conditionalFormatting>
  <conditionalFormatting sqref="N41">
    <cfRule type="expression" priority="4" dxfId="0" stopIfTrue="1">
      <formula>#REF!&gt;0</formula>
    </cfRule>
  </conditionalFormatting>
  <dataValidations count="7">
    <dataValidation type="list" allowBlank="1" showInputMessage="1" showErrorMessage="1" sqref="D8">
      <formula1>$U$5:$U$7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D13">
      <formula1>$R$5:$R$6</formula1>
    </dataValidation>
    <dataValidation type="list" allowBlank="1" showInputMessage="1" showErrorMessage="1" sqref="H50">
      <formula1>$AA$6:$AA$11</formula1>
    </dataValidation>
    <dataValidation type="list" allowBlank="1" showInputMessage="1" showErrorMessage="1" sqref="H23:I49">
      <formula1>$AA$5:$AA$11</formula1>
    </dataValidation>
  </dataValidations>
  <printOptions/>
  <pageMargins left="0.7" right="0.7" top="0.75" bottom="0.75" header="0.3" footer="0.3"/>
  <pageSetup horizontalDpi="600" verticalDpi="600" orientation="portrait" scale="6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F1">
      <selection activeCell="U7" sqref="U7"/>
    </sheetView>
  </sheetViews>
  <sheetFormatPr defaultColWidth="11.421875" defaultRowHeight="15"/>
  <sheetData>
    <row r="1" spans="1:13" ht="18">
      <c r="A1" s="326" t="s">
        <v>11</v>
      </c>
      <c r="B1" s="327" t="s">
        <v>12</v>
      </c>
      <c r="C1" s="327"/>
      <c r="D1" s="328"/>
      <c r="E1" s="329" t="s">
        <v>13</v>
      </c>
      <c r="F1" s="330"/>
      <c r="G1" s="330"/>
      <c r="H1" s="331" t="s">
        <v>14</v>
      </c>
      <c r="I1" s="332"/>
      <c r="J1" s="332"/>
      <c r="K1" s="333" t="s">
        <v>15</v>
      </c>
      <c r="L1" s="334"/>
      <c r="M1" s="334"/>
    </row>
    <row r="2" spans="1:23" ht="45">
      <c r="A2" s="326"/>
      <c r="B2" s="335" t="s">
        <v>16</v>
      </c>
      <c r="C2" s="336"/>
      <c r="D2" s="337"/>
      <c r="E2" s="338" t="s">
        <v>17</v>
      </c>
      <c r="F2" s="339"/>
      <c r="G2" s="340"/>
      <c r="H2" s="341" t="s">
        <v>17</v>
      </c>
      <c r="I2" s="342"/>
      <c r="J2" s="343"/>
      <c r="K2" s="344" t="s">
        <v>17</v>
      </c>
      <c r="L2" s="345"/>
      <c r="M2" s="346"/>
      <c r="P2" s="325" t="s">
        <v>171</v>
      </c>
      <c r="Q2" s="325"/>
      <c r="R2" s="325"/>
      <c r="S2" s="325"/>
      <c r="U2" s="202" t="s">
        <v>168</v>
      </c>
      <c r="V2" s="207" t="s">
        <v>167</v>
      </c>
      <c r="W2" s="202" t="s">
        <v>169</v>
      </c>
    </row>
    <row r="3" spans="1:24" ht="45">
      <c r="A3" s="326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202" t="s">
        <v>11</v>
      </c>
      <c r="P3" t="s">
        <v>73</v>
      </c>
      <c r="Q3" t="s">
        <v>76</v>
      </c>
      <c r="R3" t="s">
        <v>74</v>
      </c>
      <c r="S3" t="s">
        <v>75</v>
      </c>
      <c r="T3" s="205" t="s">
        <v>166</v>
      </c>
      <c r="U3" s="206">
        <v>8.12</v>
      </c>
      <c r="V3" s="206">
        <v>7.64</v>
      </c>
      <c r="W3" s="206">
        <v>5.43</v>
      </c>
      <c r="X3" s="206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473.63381426153717</v>
      </c>
      <c r="G4" s="4">
        <v>5</v>
      </c>
      <c r="H4" s="13">
        <v>5.43</v>
      </c>
      <c r="I4" s="5">
        <v>369.6140969218079</v>
      </c>
      <c r="J4" s="6">
        <v>5</v>
      </c>
      <c r="K4" s="14">
        <v>4.344</v>
      </c>
      <c r="L4" s="7">
        <v>240.7158842769254</v>
      </c>
      <c r="M4" s="8">
        <v>5</v>
      </c>
      <c r="O4" s="200">
        <v>1</v>
      </c>
      <c r="P4" s="10">
        <v>8.908889039986956</v>
      </c>
      <c r="Q4" s="11">
        <v>4.598226286239839</v>
      </c>
      <c r="R4" s="13">
        <v>3.6921641062313855</v>
      </c>
      <c r="S4" s="14">
        <v>2.5261274200886312</v>
      </c>
      <c r="T4" s="204">
        <f>+POWER(A4,0.91)</f>
        <v>1</v>
      </c>
      <c r="U4" s="204">
        <f aca="true" t="shared" si="0" ref="U4:U35">+T4*$U$3</f>
        <v>8.12</v>
      </c>
      <c r="V4" s="204">
        <f aca="true" t="shared" si="1" ref="V4:V35">+T4*$V$3</f>
        <v>7.64</v>
      </c>
      <c r="W4" s="204">
        <f aca="true" t="shared" si="2" ref="W4:W35">+T4*$W$3</f>
        <v>5.43</v>
      </c>
      <c r="X4" s="204">
        <f aca="true" t="shared" si="3" ref="X4:X35"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460.7600795735811</v>
      </c>
      <c r="G5" s="4">
        <v>10</v>
      </c>
      <c r="H5" s="13">
        <v>10.203217056464167</v>
      </c>
      <c r="I5" s="5">
        <v>357.1071898034935</v>
      </c>
      <c r="J5" s="6">
        <v>10</v>
      </c>
      <c r="K5" s="14">
        <v>8.162573645171335</v>
      </c>
      <c r="L5" s="7">
        <v>231.19503960959696</v>
      </c>
      <c r="M5" s="8">
        <v>5</v>
      </c>
      <c r="O5" s="200">
        <v>2</v>
      </c>
      <c r="P5" s="10">
        <v>16.082077694815176</v>
      </c>
      <c r="Q5" s="11">
        <v>8.100603837772908</v>
      </c>
      <c r="R5" s="13">
        <v>6.465005694185421</v>
      </c>
      <c r="S5" s="14">
        <v>4.400106000208349</v>
      </c>
      <c r="T5" s="204">
        <f aca="true" t="shared" si="4" ref="T5:T68">+POWER(A5,0.91)</f>
        <v>1.8790454984280236</v>
      </c>
      <c r="U5" s="204">
        <f t="shared" si="0"/>
        <v>15.25784944723555</v>
      </c>
      <c r="V5" s="204">
        <f t="shared" si="1"/>
        <v>14.3559076079901</v>
      </c>
      <c r="W5" s="204">
        <f t="shared" si="2"/>
        <v>10.203217056464167</v>
      </c>
      <c r="X5" s="204">
        <f t="shared" si="3"/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451.9194779649106</v>
      </c>
      <c r="G6" s="4">
        <v>15</v>
      </c>
      <c r="H6" s="13">
        <v>14.756391583683156</v>
      </c>
      <c r="I6" s="5">
        <v>348.5243466030906</v>
      </c>
      <c r="J6" s="6">
        <v>10</v>
      </c>
      <c r="K6" s="14">
        <v>11.805113266946526</v>
      </c>
      <c r="L6" s="7">
        <v>224.6652405370857</v>
      </c>
      <c r="M6" s="8">
        <v>10</v>
      </c>
      <c r="O6" s="200">
        <v>3</v>
      </c>
      <c r="P6" s="10">
        <v>21.981602599249506</v>
      </c>
      <c r="Q6" s="11">
        <v>10.883996419310979</v>
      </c>
      <c r="R6" s="13">
        <v>8.648397942131531</v>
      </c>
      <c r="S6" s="14">
        <v>5.863657707437337</v>
      </c>
      <c r="T6" s="204">
        <f t="shared" si="4"/>
        <v>2.717567510807211</v>
      </c>
      <c r="U6" s="204">
        <f t="shared" si="0"/>
        <v>22.066648187754552</v>
      </c>
      <c r="V6" s="204">
        <f t="shared" si="1"/>
        <v>20.762215782567093</v>
      </c>
      <c r="W6" s="204">
        <f t="shared" si="2"/>
        <v>14.756391583683156</v>
      </c>
      <c r="X6" s="204">
        <f t="shared" si="3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437.75227522637095</v>
      </c>
      <c r="G7" s="4">
        <v>15</v>
      </c>
      <c r="H7" s="13">
        <v>19.172309079433024</v>
      </c>
      <c r="I7" s="5">
        <v>334.78070053847784</v>
      </c>
      <c r="J7" s="6">
        <v>15</v>
      </c>
      <c r="K7" s="14">
        <v>15.33784726354642</v>
      </c>
      <c r="L7" s="7">
        <v>214.2161213919138</v>
      </c>
      <c r="M7" s="8">
        <v>10</v>
      </c>
      <c r="O7" s="200">
        <v>4</v>
      </c>
      <c r="P7" s="10">
        <v>26.979045657097046</v>
      </c>
      <c r="Q7" s="11">
        <v>12.98714614601537</v>
      </c>
      <c r="R7" s="13">
        <v>10.243291910891486</v>
      </c>
      <c r="S7" s="14">
        <v>6.899708410394496</v>
      </c>
      <c r="T7" s="204">
        <f t="shared" si="4"/>
        <v>3.5308119851626194</v>
      </c>
      <c r="U7" s="204">
        <f t="shared" si="0"/>
        <v>28.670193319520468</v>
      </c>
      <c r="V7" s="204">
        <f t="shared" si="1"/>
        <v>26.97540356664241</v>
      </c>
      <c r="W7" s="204">
        <f t="shared" si="2"/>
        <v>19.172309079433024</v>
      </c>
      <c r="X7" s="204">
        <f t="shared" si="3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432.09300227809115</v>
      </c>
      <c r="G8" s="4">
        <v>15</v>
      </c>
      <c r="H8" s="13">
        <v>23.488892134136496</v>
      </c>
      <c r="I8" s="5">
        <v>329.29440060645834</v>
      </c>
      <c r="J8" s="6">
        <v>15</v>
      </c>
      <c r="K8" s="14">
        <v>18.791113707309197</v>
      </c>
      <c r="L8" s="7">
        <v>210.04750041431737</v>
      </c>
      <c r="M8" s="8">
        <v>10</v>
      </c>
      <c r="O8" s="15">
        <v>5</v>
      </c>
      <c r="P8" s="10">
        <v>31.350599840434633</v>
      </c>
      <c r="Q8" s="11">
        <v>14.918724908901225</v>
      </c>
      <c r="R8" s="13">
        <v>11.730269793061273</v>
      </c>
      <c r="S8" s="14">
        <v>7.879467307621216</v>
      </c>
      <c r="T8" s="204">
        <f t="shared" si="4"/>
        <v>4.325762823966206</v>
      </c>
      <c r="U8" s="204">
        <f t="shared" si="0"/>
        <v>35.125194130605585</v>
      </c>
      <c r="V8" s="204">
        <f t="shared" si="1"/>
        <v>33.04882797510181</v>
      </c>
      <c r="W8" s="204">
        <f t="shared" si="2"/>
        <v>23.488892134136496</v>
      </c>
      <c r="X8" s="204">
        <f t="shared" si="3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50</v>
      </c>
      <c r="E9" s="11">
        <v>39.013148103623955</v>
      </c>
      <c r="F9" s="12">
        <v>428.54055914818355</v>
      </c>
      <c r="G9" s="4">
        <v>25</v>
      </c>
      <c r="H9" s="13">
        <v>27.727931178361004</v>
      </c>
      <c r="I9" s="5">
        <v>325.8516796677218</v>
      </c>
      <c r="J9" s="6">
        <v>15</v>
      </c>
      <c r="K9" s="14">
        <v>22.182344942688804</v>
      </c>
      <c r="L9" s="7">
        <v>207.4324148363404</v>
      </c>
      <c r="M9" s="8">
        <v>10</v>
      </c>
      <c r="O9" s="15">
        <v>6</v>
      </c>
      <c r="P9" s="10">
        <v>35.29094141446951</v>
      </c>
      <c r="Q9" s="11">
        <v>16.67155476659931</v>
      </c>
      <c r="R9" s="13">
        <v>13.082354455648787</v>
      </c>
      <c r="S9" s="14">
        <v>8.77200873041464</v>
      </c>
      <c r="T9" s="204">
        <f t="shared" si="4"/>
        <v>5.106432997856539</v>
      </c>
      <c r="U9" s="204">
        <f t="shared" si="0"/>
        <v>41.46423594259509</v>
      </c>
      <c r="V9" s="204">
        <f t="shared" si="1"/>
        <v>39.013148103623955</v>
      </c>
      <c r="W9" s="204">
        <f t="shared" si="2"/>
        <v>27.727931178361004</v>
      </c>
      <c r="X9" s="204">
        <f t="shared" si="3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431.60847944491223</v>
      </c>
      <c r="G10" s="4">
        <v>25</v>
      </c>
      <c r="H10" s="13">
        <v>31.903552575275988</v>
      </c>
      <c r="I10" s="5">
        <v>328.82479048499954</v>
      </c>
      <c r="J10" s="6">
        <v>15</v>
      </c>
      <c r="K10" s="14">
        <v>25.522842060220796</v>
      </c>
      <c r="L10" s="7">
        <v>209.69074962491666</v>
      </c>
      <c r="M10" s="8">
        <v>10</v>
      </c>
      <c r="O10" s="15">
        <v>7</v>
      </c>
      <c r="P10" s="10">
        <v>38.933214735356096</v>
      </c>
      <c r="Q10" s="11">
        <v>18.508656141604266</v>
      </c>
      <c r="R10" s="13">
        <v>14.549025119204007</v>
      </c>
      <c r="S10" s="14">
        <v>9.770525467002773</v>
      </c>
      <c r="T10" s="204">
        <f t="shared" si="4"/>
        <v>5.875424047012153</v>
      </c>
      <c r="U10" s="204">
        <f t="shared" si="0"/>
        <v>47.70844326173868</v>
      </c>
      <c r="V10" s="204">
        <f t="shared" si="1"/>
        <v>44.888239719172844</v>
      </c>
      <c r="W10" s="204">
        <f t="shared" si="2"/>
        <v>31.903552575275988</v>
      </c>
      <c r="X10" s="204">
        <f t="shared" si="3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75</v>
      </c>
      <c r="E11" s="11">
        <v>50.688010640178675</v>
      </c>
      <c r="F11" s="12">
        <v>434.41316568918546</v>
      </c>
      <c r="G11" s="4">
        <v>25</v>
      </c>
      <c r="H11" s="13">
        <v>36.02564107017935</v>
      </c>
      <c r="I11" s="5">
        <v>331.5433811665799</v>
      </c>
      <c r="J11" s="6">
        <v>25</v>
      </c>
      <c r="K11" s="14">
        <v>28.82051285614348</v>
      </c>
      <c r="L11" s="7">
        <v>211.75614770527145</v>
      </c>
      <c r="M11" s="8">
        <v>15</v>
      </c>
      <c r="O11" s="15">
        <v>8</v>
      </c>
      <c r="P11" s="10">
        <v>42.36735462209556</v>
      </c>
      <c r="Q11" s="11">
        <v>20.257016610348472</v>
      </c>
      <c r="R11" s="13">
        <v>15.948122704746146</v>
      </c>
      <c r="S11" s="14">
        <v>10.72497361314495</v>
      </c>
      <c r="T11" s="204">
        <f t="shared" si="4"/>
        <v>6.634556366515533</v>
      </c>
      <c r="U11" s="204">
        <f t="shared" si="0"/>
        <v>53.872597696106126</v>
      </c>
      <c r="V11" s="204">
        <f t="shared" si="1"/>
        <v>50.688010640178675</v>
      </c>
      <c r="W11" s="204">
        <f t="shared" si="2"/>
        <v>36.02564107017935</v>
      </c>
      <c r="X11" s="204">
        <f t="shared" si="3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75</v>
      </c>
      <c r="E12" s="11">
        <v>56.422723063073036</v>
      </c>
      <c r="F12" s="12">
        <v>436.9560340007593</v>
      </c>
      <c r="G12" s="4">
        <v>25</v>
      </c>
      <c r="H12" s="13">
        <v>40.10149034456631</v>
      </c>
      <c r="I12" s="5">
        <v>334.0086625741117</v>
      </c>
      <c r="J12" s="6">
        <v>25</v>
      </c>
      <c r="K12" s="14">
        <v>32.08119227565305</v>
      </c>
      <c r="L12" s="7">
        <v>213.62941831100187</v>
      </c>
      <c r="M12" s="8">
        <v>15</v>
      </c>
      <c r="O12" s="15">
        <v>9</v>
      </c>
      <c r="P12" s="10">
        <v>45.654097706133584</v>
      </c>
      <c r="Q12" s="11">
        <v>21.94154296948351</v>
      </c>
      <c r="R12" s="13">
        <v>17.298376901495427</v>
      </c>
      <c r="S12" s="14">
        <v>11.647421717409191</v>
      </c>
      <c r="T12" s="204">
        <f t="shared" si="4"/>
        <v>7.3851731757949</v>
      </c>
      <c r="U12" s="204">
        <f t="shared" si="0"/>
        <v>59.967606187454585</v>
      </c>
      <c r="V12" s="204">
        <f t="shared" si="1"/>
        <v>56.422723063073036</v>
      </c>
      <c r="W12" s="204">
        <f t="shared" si="2"/>
        <v>40.10149034456631</v>
      </c>
      <c r="X12" s="204">
        <f t="shared" si="3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75</v>
      </c>
      <c r="E13" s="11">
        <v>62.100251434937185</v>
      </c>
      <c r="F13" s="12">
        <v>439.25123158993676</v>
      </c>
      <c r="G13" s="4">
        <v>25</v>
      </c>
      <c r="H13" s="13">
        <v>44.13669702771059</v>
      </c>
      <c r="I13" s="5">
        <v>336.23421052663923</v>
      </c>
      <c r="J13" s="6">
        <v>25</v>
      </c>
      <c r="K13" s="14">
        <v>35.30935762216848</v>
      </c>
      <c r="L13" s="7">
        <v>215.3207819438562</v>
      </c>
      <c r="M13" s="8">
        <v>15</v>
      </c>
      <c r="O13" s="15">
        <v>10</v>
      </c>
      <c r="P13" s="10">
        <v>48.83477434909161</v>
      </c>
      <c r="Q13" s="11">
        <v>23.579260449803265</v>
      </c>
      <c r="R13" s="13">
        <v>18.61260951180666</v>
      </c>
      <c r="S13" s="14">
        <v>12.546143470137753</v>
      </c>
      <c r="T13" s="204">
        <f t="shared" si="4"/>
        <v>8.128305161640993</v>
      </c>
      <c r="U13" s="204">
        <f t="shared" si="0"/>
        <v>66.00183791252486</v>
      </c>
      <c r="V13" s="204">
        <f t="shared" si="1"/>
        <v>62.100251434937185</v>
      </c>
      <c r="W13" s="204">
        <f t="shared" si="2"/>
        <v>44.13669702771059</v>
      </c>
      <c r="X13" s="204">
        <f t="shared" si="3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441.3184921175354</v>
      </c>
      <c r="G14" s="4">
        <v>37.5</v>
      </c>
      <c r="H14" s="13">
        <v>48.13568684140687</v>
      </c>
      <c r="I14" s="5">
        <v>338.2390439524687</v>
      </c>
      <c r="J14" s="6">
        <v>25</v>
      </c>
      <c r="K14" s="14">
        <v>38.508549473125505</v>
      </c>
      <c r="L14" s="7">
        <v>216.8446138148702</v>
      </c>
      <c r="M14" s="8">
        <v>15</v>
      </c>
      <c r="O14" s="15">
        <v>11</v>
      </c>
      <c r="P14" s="10">
        <v>51.93785212581211</v>
      </c>
      <c r="Q14" s="11">
        <v>25.18196504347711</v>
      </c>
      <c r="R14" s="13">
        <v>19.899721285490095</v>
      </c>
      <c r="S14" s="14">
        <v>13.426893100470632</v>
      </c>
      <c r="T14" s="204">
        <f t="shared" si="4"/>
        <v>8.86476737410808</v>
      </c>
      <c r="U14" s="204">
        <f t="shared" si="0"/>
        <v>71.9819110777576</v>
      </c>
      <c r="V14" s="204">
        <f t="shared" si="1"/>
        <v>67.72682273818573</v>
      </c>
      <c r="W14" s="204">
        <f t="shared" si="2"/>
        <v>48.13568684140687</v>
      </c>
      <c r="X14" s="204">
        <f t="shared" si="3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100</v>
      </c>
      <c r="E15" s="11">
        <v>73.30748032362037</v>
      </c>
      <c r="F15" s="12">
        <v>443.17925532273966</v>
      </c>
      <c r="G15" s="4">
        <v>37.5</v>
      </c>
      <c r="H15" s="13">
        <v>52.10204426142128</v>
      </c>
      <c r="I15" s="5">
        <v>340.0438611111055</v>
      </c>
      <c r="J15" s="6">
        <v>25</v>
      </c>
      <c r="K15" s="14">
        <v>41.68163540913703</v>
      </c>
      <c r="L15" s="7">
        <v>218.21658254045107</v>
      </c>
      <c r="M15" s="8">
        <v>15</v>
      </c>
      <c r="O15" s="15">
        <v>12</v>
      </c>
      <c r="P15" s="10">
        <v>54.983224664121934</v>
      </c>
      <c r="Q15" s="11">
        <v>26.75795977512048</v>
      </c>
      <c r="R15" s="13">
        <v>21.165992002319275</v>
      </c>
      <c r="S15" s="14">
        <v>14.29373958902373</v>
      </c>
      <c r="T15" s="204">
        <f t="shared" si="4"/>
        <v>9.595219937646645</v>
      </c>
      <c r="U15" s="204">
        <f t="shared" si="0"/>
        <v>77.91318589369075</v>
      </c>
      <c r="V15" s="204">
        <f t="shared" si="1"/>
        <v>73.30748032362037</v>
      </c>
      <c r="W15" s="204">
        <f t="shared" si="2"/>
        <v>52.10204426142128</v>
      </c>
      <c r="X15" s="204">
        <f t="shared" si="3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100</v>
      </c>
      <c r="E16" s="11">
        <v>78.84638915161207</v>
      </c>
      <c r="F16" s="12">
        <v>444.8546298092994</v>
      </c>
      <c r="G16" s="4">
        <v>37.5</v>
      </c>
      <c r="H16" s="13">
        <v>56.03872946246774</v>
      </c>
      <c r="I16" s="5">
        <v>341.6690605227972</v>
      </c>
      <c r="J16" s="6">
        <v>25</v>
      </c>
      <c r="K16" s="14">
        <v>44.8309835699742</v>
      </c>
      <c r="L16" s="7">
        <v>219.45214351038007</v>
      </c>
      <c r="M16" s="8">
        <v>25</v>
      </c>
      <c r="O16" s="15">
        <v>13</v>
      </c>
      <c r="P16" s="10">
        <v>57.98501003746078</v>
      </c>
      <c r="Q16" s="11">
        <v>28.313187714646876</v>
      </c>
      <c r="R16" s="13">
        <v>22.415928879505884</v>
      </c>
      <c r="S16" s="14">
        <v>15.149611078187142</v>
      </c>
      <c r="T16" s="204">
        <f t="shared" si="4"/>
        <v>10.320208004137706</v>
      </c>
      <c r="U16" s="204">
        <f t="shared" si="0"/>
        <v>83.80008899359817</v>
      </c>
      <c r="V16" s="204">
        <f t="shared" si="1"/>
        <v>78.84638915161207</v>
      </c>
      <c r="W16" s="204">
        <f t="shared" si="2"/>
        <v>56.03872946246774</v>
      </c>
      <c r="X16" s="204">
        <f t="shared" si="3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100</v>
      </c>
      <c r="E17" s="11">
        <v>84.34704477666975</v>
      </c>
      <c r="F17" s="12">
        <v>446.3643941134472</v>
      </c>
      <c r="G17" s="4">
        <v>37.5</v>
      </c>
      <c r="H17" s="13">
        <v>59.948226850434125</v>
      </c>
      <c r="I17" s="5">
        <v>343.1337682183816</v>
      </c>
      <c r="J17" s="6">
        <v>25</v>
      </c>
      <c r="K17" s="14">
        <v>47.958581480347306</v>
      </c>
      <c r="L17" s="7">
        <v>220.56579676274478</v>
      </c>
      <c r="M17" s="8">
        <v>25</v>
      </c>
      <c r="O17" s="15">
        <v>14</v>
      </c>
      <c r="P17" s="10">
        <v>60.953384356132815</v>
      </c>
      <c r="Q17" s="11">
        <v>29.85197511332382</v>
      </c>
      <c r="R17" s="13">
        <v>23.65282322572867</v>
      </c>
      <c r="S17" s="14">
        <v>15.996652187662697</v>
      </c>
      <c r="T17" s="204">
        <f t="shared" si="4"/>
        <v>11.040189106893946</v>
      </c>
      <c r="U17" s="204">
        <f t="shared" si="0"/>
        <v>89.64633554797884</v>
      </c>
      <c r="V17" s="204">
        <f t="shared" si="1"/>
        <v>84.34704477666975</v>
      </c>
      <c r="W17" s="204">
        <f t="shared" si="2"/>
        <v>59.948226850434125</v>
      </c>
      <c r="X17" s="204">
        <f t="shared" si="3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100</v>
      </c>
      <c r="E18" s="11">
        <v>89.81242117539311</v>
      </c>
      <c r="F18" s="12">
        <v>447.7265749132685</v>
      </c>
      <c r="G18" s="4">
        <v>37.5</v>
      </c>
      <c r="H18" s="13">
        <v>63.832650128584376</v>
      </c>
      <c r="I18" s="5">
        <v>344.4554249892572</v>
      </c>
      <c r="J18" s="6">
        <v>25</v>
      </c>
      <c r="K18" s="14">
        <v>51.06612010286751</v>
      </c>
      <c r="L18" s="7">
        <v>221.57077072247543</v>
      </c>
      <c r="M18" s="8">
        <v>25</v>
      </c>
      <c r="O18" s="15">
        <v>15</v>
      </c>
      <c r="P18" s="10">
        <v>63.89579433640222</v>
      </c>
      <c r="Q18" s="11">
        <v>31.37752367791226</v>
      </c>
      <c r="R18" s="13">
        <v>24.879119393162387</v>
      </c>
      <c r="S18" s="14">
        <v>16.836460975875017</v>
      </c>
      <c r="T18" s="204">
        <f t="shared" si="4"/>
        <v>11.75555250986821</v>
      </c>
      <c r="U18" s="204">
        <f t="shared" si="0"/>
        <v>95.45508638012986</v>
      </c>
      <c r="V18" s="204">
        <f t="shared" si="1"/>
        <v>89.81242117539311</v>
      </c>
      <c r="W18" s="204">
        <f t="shared" si="2"/>
        <v>63.832650128584376</v>
      </c>
      <c r="X18" s="204">
        <f t="shared" si="3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125</v>
      </c>
      <c r="E19" s="11">
        <v>95.2450782176995</v>
      </c>
      <c r="F19" s="12">
        <v>448.95733831873844</v>
      </c>
      <c r="G19" s="4">
        <v>37.5</v>
      </c>
      <c r="H19" s="13">
        <v>67.69381868090423</v>
      </c>
      <c r="I19" s="5">
        <v>345.649677844905</v>
      </c>
      <c r="J19" s="6">
        <v>37.5</v>
      </c>
      <c r="K19" s="14">
        <v>54.15505494472339</v>
      </c>
      <c r="L19" s="7">
        <v>222.4789375714108</v>
      </c>
      <c r="M19" s="8">
        <v>25</v>
      </c>
      <c r="O19" s="15">
        <v>16</v>
      </c>
      <c r="P19" s="10">
        <v>66.81776886921803</v>
      </c>
      <c r="Q19" s="11">
        <v>32.89224079290844</v>
      </c>
      <c r="R19" s="13">
        <v>26.096662460614674</v>
      </c>
      <c r="S19" s="14">
        <v>17.670248133260017</v>
      </c>
      <c r="T19" s="204">
        <f t="shared" si="4"/>
        <v>12.466633274567998</v>
      </c>
      <c r="U19" s="204">
        <f t="shared" si="0"/>
        <v>101.22906218949214</v>
      </c>
      <c r="V19" s="204">
        <f t="shared" si="1"/>
        <v>95.2450782176995</v>
      </c>
      <c r="W19" s="204">
        <f t="shared" si="2"/>
        <v>67.69381868090423</v>
      </c>
      <c r="X19" s="204">
        <f t="shared" si="3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125</v>
      </c>
      <c r="E20" s="11">
        <v>100.6472416423957</v>
      </c>
      <c r="F20" s="12">
        <v>450.07104388988967</v>
      </c>
      <c r="G20" s="4">
        <v>37.5</v>
      </c>
      <c r="H20" s="13">
        <v>71.5333144133781</v>
      </c>
      <c r="I20" s="5">
        <v>346.730429898481</v>
      </c>
      <c r="J20" s="6">
        <v>37.5</v>
      </c>
      <c r="K20" s="14">
        <v>57.22665153070248</v>
      </c>
      <c r="L20" s="7">
        <v>223.30084946190627</v>
      </c>
      <c r="M20" s="8">
        <v>25</v>
      </c>
      <c r="O20" s="15">
        <v>17</v>
      </c>
      <c r="P20" s="10">
        <v>69.72346952371765</v>
      </c>
      <c r="Q20" s="11">
        <v>34.39796413693949</v>
      </c>
      <c r="R20" s="13">
        <v>27.306866861974996</v>
      </c>
      <c r="S20" s="14">
        <v>18.498945462265347</v>
      </c>
      <c r="T20" s="204">
        <f t="shared" si="4"/>
        <v>13.173722728062264</v>
      </c>
      <c r="U20" s="204">
        <f t="shared" si="0"/>
        <v>106.97062855186557</v>
      </c>
      <c r="V20" s="204">
        <f t="shared" si="1"/>
        <v>100.6472416423957</v>
      </c>
      <c r="W20" s="204">
        <f t="shared" si="2"/>
        <v>71.5333144133781</v>
      </c>
      <c r="X20" s="204">
        <f t="shared" si="3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125</v>
      </c>
      <c r="E21" s="11">
        <v>106.02086378071836</v>
      </c>
      <c r="F21" s="12">
        <v>451.08037662633006</v>
      </c>
      <c r="G21" s="4">
        <v>37.5</v>
      </c>
      <c r="H21" s="13">
        <v>75.35252491221213</v>
      </c>
      <c r="I21" s="5">
        <v>347.70996641527825</v>
      </c>
      <c r="J21" s="6">
        <v>37.5</v>
      </c>
      <c r="K21" s="14">
        <v>60.28201992976971</v>
      </c>
      <c r="L21" s="7">
        <v>224.0458329958791</v>
      </c>
      <c r="M21" s="8">
        <v>25</v>
      </c>
      <c r="O21" s="15">
        <v>18</v>
      </c>
      <c r="P21" s="10">
        <v>72.61606919952668</v>
      </c>
      <c r="Q21" s="11">
        <v>35.896116681733005</v>
      </c>
      <c r="R21" s="13">
        <v>28.510832875048138</v>
      </c>
      <c r="S21" s="14">
        <v>19.323280894076255</v>
      </c>
      <c r="T21" s="204">
        <f t="shared" si="4"/>
        <v>13.87707641108879</v>
      </c>
      <c r="U21" s="204">
        <f t="shared" si="0"/>
        <v>112.68186045804097</v>
      </c>
      <c r="V21" s="204">
        <f t="shared" si="1"/>
        <v>106.02086378071836</v>
      </c>
      <c r="W21" s="204">
        <f t="shared" si="2"/>
        <v>75.35252491221213</v>
      </c>
      <c r="X21" s="204">
        <f t="shared" si="3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451.99650992975984</v>
      </c>
      <c r="G22" s="4">
        <v>37.5</v>
      </c>
      <c r="H22" s="13">
        <v>79.15267679222396</v>
      </c>
      <c r="I22" s="5">
        <v>348.59911134919196</v>
      </c>
      <c r="J22" s="6">
        <v>37.5</v>
      </c>
      <c r="K22" s="14">
        <v>63.32214143377918</v>
      </c>
      <c r="L22" s="7">
        <v>224.72210718531687</v>
      </c>
      <c r="M22" s="8">
        <v>25</v>
      </c>
      <c r="O22" s="15">
        <v>19</v>
      </c>
      <c r="P22" s="10">
        <v>75.49801622774234</v>
      </c>
      <c r="Q22" s="11">
        <v>37.387815201000755</v>
      </c>
      <c r="R22" s="13">
        <v>29.70942827053316</v>
      </c>
      <c r="S22" s="14">
        <v>20.14383113162765</v>
      </c>
      <c r="T22" s="204">
        <f t="shared" si="4"/>
        <v>14.576920219562425</v>
      </c>
      <c r="U22" s="204">
        <f t="shared" si="0"/>
        <v>118.36459218284688</v>
      </c>
      <c r="V22" s="204">
        <f t="shared" si="1"/>
        <v>111.36767047745693</v>
      </c>
      <c r="W22" s="204">
        <f t="shared" si="2"/>
        <v>79.15267679222396</v>
      </c>
      <c r="X22" s="204">
        <f t="shared" si="3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452.8292741959708</v>
      </c>
      <c r="G23" s="4">
        <v>50</v>
      </c>
      <c r="H23" s="13">
        <v>82.93486186540112</v>
      </c>
      <c r="I23" s="5">
        <v>349.4073896955413</v>
      </c>
      <c r="J23" s="6">
        <v>37.5</v>
      </c>
      <c r="K23" s="14">
        <v>66.3478894923209</v>
      </c>
      <c r="L23" s="7">
        <v>225.3369060770473</v>
      </c>
      <c r="M23" s="8">
        <v>25</v>
      </c>
      <c r="O23" s="15">
        <v>20</v>
      </c>
      <c r="P23" s="10">
        <v>78.37122110173472</v>
      </c>
      <c r="Q23" s="11">
        <v>38.873947310457126</v>
      </c>
      <c r="R23" s="13">
        <v>30.903346360928822</v>
      </c>
      <c r="S23" s="14">
        <v>20.96105912612814</v>
      </c>
      <c r="T23" s="204">
        <f t="shared" si="4"/>
        <v>15.273455223830776</v>
      </c>
      <c r="U23" s="204">
        <f t="shared" si="0"/>
        <v>124.0204564175059</v>
      </c>
      <c r="V23" s="204">
        <f t="shared" si="1"/>
        <v>116.68919791006712</v>
      </c>
      <c r="W23" s="204">
        <f t="shared" si="2"/>
        <v>82.93486186540112</v>
      </c>
      <c r="X23" s="204">
        <f t="shared" si="3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453.58731803490986</v>
      </c>
      <c r="G24" s="4">
        <v>50</v>
      </c>
      <c r="H24" s="13">
        <v>86.70005795789976</v>
      </c>
      <c r="I24" s="5">
        <v>350.14318297124</v>
      </c>
      <c r="J24" s="6">
        <v>37.5</v>
      </c>
      <c r="K24" s="14">
        <v>69.3600463663198</v>
      </c>
      <c r="L24" s="7">
        <v>225.89659634185261</v>
      </c>
      <c r="M24" s="8">
        <v>25</v>
      </c>
      <c r="O24" s="15">
        <v>21</v>
      </c>
      <c r="P24" s="10">
        <v>81.23719024998225</v>
      </c>
      <c r="Q24" s="11">
        <v>40.355226914028705</v>
      </c>
      <c r="R24" s="13">
        <v>32.093147841623036</v>
      </c>
      <c r="S24" s="14">
        <v>21.77534112917792</v>
      </c>
      <c r="T24" s="204">
        <f t="shared" si="4"/>
        <v>15.966861502375647</v>
      </c>
      <c r="U24" s="204">
        <f t="shared" si="0"/>
        <v>129.65091539929023</v>
      </c>
      <c r="V24" s="204">
        <f t="shared" si="1"/>
        <v>121.98682187814994</v>
      </c>
      <c r="W24" s="204">
        <f t="shared" si="2"/>
        <v>86.70005795789976</v>
      </c>
      <c r="X24" s="204">
        <f t="shared" si="3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454.2782560764077</v>
      </c>
      <c r="G25" s="4">
        <v>50</v>
      </c>
      <c r="H25" s="13">
        <v>90.44914567308666</v>
      </c>
      <c r="I25" s="5">
        <v>350.81387189746187</v>
      </c>
      <c r="J25" s="6">
        <v>37.5</v>
      </c>
      <c r="K25" s="14">
        <v>72.35931653846934</v>
      </c>
      <c r="L25" s="7">
        <v>226.40678528009568</v>
      </c>
      <c r="M25" s="8">
        <v>25</v>
      </c>
      <c r="O25" s="15">
        <v>22</v>
      </c>
      <c r="P25" s="10">
        <v>84.0971230811884</v>
      </c>
      <c r="Q25" s="11">
        <v>41.83223463176044</v>
      </c>
      <c r="R25" s="13">
        <v>33.279291349003785</v>
      </c>
      <c r="S25" s="14">
        <v>22.58698648134041</v>
      </c>
      <c r="T25" s="204">
        <f t="shared" si="4"/>
        <v>16.657301228929406</v>
      </c>
      <c r="U25" s="204">
        <f t="shared" si="0"/>
        <v>135.25728597890676</v>
      </c>
      <c r="V25" s="204">
        <f t="shared" si="1"/>
        <v>127.26178138902065</v>
      </c>
      <c r="W25" s="204">
        <f t="shared" si="2"/>
        <v>90.44914567308666</v>
      </c>
      <c r="X25" s="204">
        <f t="shared" si="3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454.90880117046646</v>
      </c>
      <c r="G26" s="4">
        <v>50</v>
      </c>
      <c r="H26" s="13">
        <v>94.18292203878188</v>
      </c>
      <c r="I26" s="5">
        <v>351.4259641090061</v>
      </c>
      <c r="J26" s="6">
        <v>37.5</v>
      </c>
      <c r="K26" s="14">
        <v>75.3463376310255</v>
      </c>
      <c r="L26" s="7">
        <v>226.872417555373</v>
      </c>
      <c r="M26" s="8">
        <v>25</v>
      </c>
      <c r="O26" s="15">
        <v>23</v>
      </c>
      <c r="P26" s="10">
        <v>86.95198323054848</v>
      </c>
      <c r="Q26" s="11">
        <v>43.30544764511835</v>
      </c>
      <c r="R26" s="13">
        <v>34.46215605979127</v>
      </c>
      <c r="S26" s="14">
        <v>23.396252271969544</v>
      </c>
      <c r="T26" s="204">
        <f t="shared" si="4"/>
        <v>17.344921185779352</v>
      </c>
      <c r="U26" s="204">
        <f t="shared" si="0"/>
        <v>140.84076002852834</v>
      </c>
      <c r="V26" s="204">
        <f t="shared" si="1"/>
        <v>132.51519785935423</v>
      </c>
      <c r="W26" s="204">
        <f t="shared" si="2"/>
        <v>94.18292203878188</v>
      </c>
      <c r="X26" s="204">
        <f t="shared" si="3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455.48488085397366</v>
      </c>
      <c r="G27" s="4">
        <v>50</v>
      </c>
      <c r="H27" s="13">
        <v>97.90211172832133</v>
      </c>
      <c r="I27" s="5">
        <v>351.98520672703734</v>
      </c>
      <c r="J27" s="6">
        <v>37.5</v>
      </c>
      <c r="K27" s="14">
        <v>78.32168938265707</v>
      </c>
      <c r="L27" s="7">
        <v>227.29786050544033</v>
      </c>
      <c r="M27" s="8">
        <v>25</v>
      </c>
      <c r="O27" s="15">
        <v>24</v>
      </c>
      <c r="P27" s="10">
        <v>89.80255145998397</v>
      </c>
      <c r="Q27" s="11">
        <v>44.77526199075525</v>
      </c>
      <c r="R27" s="13">
        <v>35.64205860468259</v>
      </c>
      <c r="S27" s="14">
        <v>24.203354331049717</v>
      </c>
      <c r="T27" s="204">
        <f t="shared" si="4"/>
        <v>18.029854830261755</v>
      </c>
      <c r="U27" s="204">
        <f t="shared" si="0"/>
        <v>146.40242122172543</v>
      </c>
      <c r="V27" s="204">
        <f t="shared" si="1"/>
        <v>137.7480909031998</v>
      </c>
      <c r="W27" s="204">
        <f t="shared" si="2"/>
        <v>97.90211172832133</v>
      </c>
      <c r="X27" s="204">
        <f t="shared" si="3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456.0117389966826</v>
      </c>
      <c r="G28" s="4">
        <v>50</v>
      </c>
      <c r="H28" s="13">
        <v>101.60737636999986</v>
      </c>
      <c r="I28" s="5">
        <v>352.4966846507063</v>
      </c>
      <c r="J28" s="6">
        <v>37.5</v>
      </c>
      <c r="K28" s="14">
        <v>81.2859010959999</v>
      </c>
      <c r="L28" s="7">
        <v>227.6869786604846</v>
      </c>
      <c r="M28" s="8">
        <v>37.5</v>
      </c>
      <c r="O28" s="15">
        <v>25</v>
      </c>
      <c r="P28" s="10">
        <v>92.64946535798681</v>
      </c>
      <c r="Q28" s="11">
        <v>46.242009400250176</v>
      </c>
      <c r="R28" s="13">
        <v>36.81926587049148</v>
      </c>
      <c r="S28" s="14">
        <v>25.0084755654167</v>
      </c>
      <c r="T28" s="204">
        <f t="shared" si="4"/>
        <v>18.71222400920808</v>
      </c>
      <c r="U28" s="204">
        <f t="shared" si="0"/>
        <v>151.9432589547696</v>
      </c>
      <c r="V28" s="204">
        <f t="shared" si="1"/>
        <v>142.96139143034972</v>
      </c>
      <c r="W28" s="204">
        <f t="shared" si="2"/>
        <v>101.60737636999986</v>
      </c>
      <c r="X28" s="204">
        <f t="shared" si="3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456.494024003366</v>
      </c>
      <c r="G29" s="4">
        <v>50</v>
      </c>
      <c r="H29" s="13">
        <v>105.29932233407585</v>
      </c>
      <c r="I29" s="5">
        <v>352.96490588052114</v>
      </c>
      <c r="J29" s="6">
        <v>50</v>
      </c>
      <c r="K29" s="14">
        <v>84.2394578672607</v>
      </c>
      <c r="L29" s="7">
        <v>228.04319845136808</v>
      </c>
      <c r="M29" s="8">
        <v>37.5</v>
      </c>
      <c r="O29" s="15">
        <v>26</v>
      </c>
      <c r="P29" s="10">
        <v>95.49324943458714</v>
      </c>
      <c r="Q29" s="11">
        <v>47.70597015513565</v>
      </c>
      <c r="R29" s="13">
        <v>37.994004794422196</v>
      </c>
      <c r="S29" s="14">
        <v>25.811772349695318</v>
      </c>
      <c r="T29" s="204">
        <f t="shared" si="4"/>
        <v>19.39214039301581</v>
      </c>
      <c r="U29" s="204">
        <f t="shared" si="0"/>
        <v>157.46417999128838</v>
      </c>
      <c r="V29" s="204">
        <f t="shared" si="1"/>
        <v>148.15595260264078</v>
      </c>
      <c r="W29" s="204">
        <f t="shared" si="2"/>
        <v>105.29932233407585</v>
      </c>
      <c r="X29" s="204">
        <f t="shared" si="3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456.93586509472806</v>
      </c>
      <c r="G30" s="4">
        <v>50</v>
      </c>
      <c r="H30" s="13">
        <v>108.97850729534242</v>
      </c>
      <c r="I30" s="5">
        <v>353.3938753330878</v>
      </c>
      <c r="J30" s="6">
        <v>50</v>
      </c>
      <c r="K30" s="14">
        <v>87.18280583627394</v>
      </c>
      <c r="L30" s="7">
        <v>228.36956420580597</v>
      </c>
      <c r="M30" s="8">
        <v>37.5</v>
      </c>
      <c r="O30" s="15">
        <v>27</v>
      </c>
      <c r="P30" s="10">
        <v>98.33433815292265</v>
      </c>
      <c r="Q30" s="11">
        <v>49.16738299863764</v>
      </c>
      <c r="R30" s="13">
        <v>39.166469933426086</v>
      </c>
      <c r="S30" s="14">
        <v>26.613379476328387</v>
      </c>
      <c r="T30" s="204">
        <f t="shared" si="4"/>
        <v>20.069706684225125</v>
      </c>
      <c r="U30" s="204">
        <f t="shared" si="0"/>
        <v>162.966018275908</v>
      </c>
      <c r="V30" s="204">
        <f t="shared" si="1"/>
        <v>153.33255906747993</v>
      </c>
      <c r="W30" s="204">
        <f t="shared" si="2"/>
        <v>108.97850729534242</v>
      </c>
      <c r="X30" s="204">
        <f t="shared" si="3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457.3409381662357</v>
      </c>
      <c r="G31" s="4">
        <v>75</v>
      </c>
      <c r="H31" s="13">
        <v>112.64544580205019</v>
      </c>
      <c r="I31" s="5">
        <v>353.7871585883404</v>
      </c>
      <c r="J31" s="6">
        <v>50</v>
      </c>
      <c r="K31" s="14">
        <v>90.11635664164017</v>
      </c>
      <c r="L31" s="7">
        <v>228.66878651921084</v>
      </c>
      <c r="M31" s="8">
        <v>37.5</v>
      </c>
      <c r="O31" s="15">
        <v>28</v>
      </c>
      <c r="P31" s="10">
        <v>101.17309371376004</v>
      </c>
      <c r="Q31" s="11">
        <v>50.62645285062571</v>
      </c>
      <c r="R31" s="13">
        <v>40.336829370409674</v>
      </c>
      <c r="S31" s="14">
        <v>27.413414026931658</v>
      </c>
      <c r="T31" s="204">
        <f t="shared" si="4"/>
        <v>20.745017643103168</v>
      </c>
      <c r="U31" s="204">
        <f t="shared" si="0"/>
        <v>168.44954326199772</v>
      </c>
      <c r="V31" s="204">
        <f t="shared" si="1"/>
        <v>158.4919347933082</v>
      </c>
      <c r="W31" s="204">
        <f t="shared" si="2"/>
        <v>112.64544580205019</v>
      </c>
      <c r="X31" s="204">
        <f t="shared" si="3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457.71252261721145</v>
      </c>
      <c r="G32" s="4">
        <v>75</v>
      </c>
      <c r="H32" s="13">
        <v>116.30061403176798</v>
      </c>
      <c r="I32" s="5">
        <v>354.14793690991684</v>
      </c>
      <c r="J32" s="6">
        <v>50</v>
      </c>
      <c r="K32" s="14">
        <v>93.04049122541439</v>
      </c>
      <c r="L32" s="7">
        <v>228.94328401270553</v>
      </c>
      <c r="M32" s="8">
        <v>37.5</v>
      </c>
      <c r="O32" s="15">
        <v>29</v>
      </c>
      <c r="P32" s="10">
        <v>104.00981990482833</v>
      </c>
      <c r="Q32" s="11">
        <v>52.08335686665484</v>
      </c>
      <c r="R32" s="13">
        <v>41.50522936475551</v>
      </c>
      <c r="S32" s="14">
        <v>28.211978427977925</v>
      </c>
      <c r="T32" s="204">
        <f t="shared" si="4"/>
        <v>21.418160963493182</v>
      </c>
      <c r="U32" s="204">
        <f t="shared" si="0"/>
        <v>173.91546702356462</v>
      </c>
      <c r="V32" s="204">
        <f t="shared" si="1"/>
        <v>163.6347497610879</v>
      </c>
      <c r="W32" s="204">
        <f t="shared" si="2"/>
        <v>116.30061403176798</v>
      </c>
      <c r="X32" s="204">
        <f t="shared" si="3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458.0535504005907</v>
      </c>
      <c r="G33" s="4">
        <v>75</v>
      </c>
      <c r="H33" s="13">
        <v>119.94445387684752</v>
      </c>
      <c r="I33" s="5">
        <v>354.47905474405326</v>
      </c>
      <c r="J33" s="6">
        <v>50</v>
      </c>
      <c r="K33" s="14">
        <v>95.95556310147802</v>
      </c>
      <c r="L33" s="7">
        <v>229.19521938958871</v>
      </c>
      <c r="M33" s="8">
        <v>37.5</v>
      </c>
      <c r="O33" s="15">
        <v>30</v>
      </c>
      <c r="P33" s="10">
        <v>106.84477297200314</v>
      </c>
      <c r="Q33" s="11">
        <v>53.53824923703989</v>
      </c>
      <c r="R33" s="13">
        <v>42.67179804576282</v>
      </c>
      <c r="S33" s="14">
        <v>29.00916288376061</v>
      </c>
      <c r="T33" s="204">
        <f t="shared" si="4"/>
        <v>22.089218025202122</v>
      </c>
      <c r="U33" s="204">
        <f t="shared" si="0"/>
        <v>179.36445036464121</v>
      </c>
      <c r="V33" s="204">
        <f t="shared" si="1"/>
        <v>168.7616257125442</v>
      </c>
      <c r="W33" s="204">
        <f t="shared" si="2"/>
        <v>119.94445387684752</v>
      </c>
      <c r="X33" s="204">
        <f t="shared" si="3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458.366648393313</v>
      </c>
      <c r="G34" s="4">
        <v>75</v>
      </c>
      <c r="H34" s="13">
        <v>123.57737647319985</v>
      </c>
      <c r="I34" s="5">
        <v>354.78306075824827</v>
      </c>
      <c r="J34" s="6">
        <v>50</v>
      </c>
      <c r="K34" s="14">
        <v>98.86190117855989</v>
      </c>
      <c r="L34" s="7">
        <v>229.42653059318698</v>
      </c>
      <c r="M34" s="8">
        <v>37.5</v>
      </c>
      <c r="O34" s="15">
        <v>31</v>
      </c>
      <c r="P34" s="10">
        <v>109.6781702172226</v>
      </c>
      <c r="Q34" s="11">
        <v>54.99126501865065</v>
      </c>
      <c r="R34" s="13">
        <v>43.836648370007275</v>
      </c>
      <c r="S34" s="14">
        <v>29.80504732960358</v>
      </c>
      <c r="T34" s="204">
        <f t="shared" si="4"/>
        <v>22.758264543867377</v>
      </c>
      <c r="U34" s="204">
        <f t="shared" si="0"/>
        <v>184.7971080962031</v>
      </c>
      <c r="V34" s="204">
        <f t="shared" si="1"/>
        <v>173.87314111514675</v>
      </c>
      <c r="W34" s="204">
        <f t="shared" si="2"/>
        <v>123.57737647319985</v>
      </c>
      <c r="X34" s="204">
        <f t="shared" si="3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458.6541750422605</v>
      </c>
      <c r="G35" s="4">
        <v>75</v>
      </c>
      <c r="H35" s="13">
        <v>127.19976526375594</v>
      </c>
      <c r="I35" s="5">
        <v>355.0622433416148</v>
      </c>
      <c r="J35" s="6">
        <v>50</v>
      </c>
      <c r="K35" s="14">
        <v>101.75981221100476</v>
      </c>
      <c r="L35" s="7">
        <v>229.6389577640276</v>
      </c>
      <c r="M35" s="8">
        <v>37.5</v>
      </c>
      <c r="O35" s="15">
        <v>32</v>
      </c>
      <c r="P35" s="10">
        <v>112.51019684703435</v>
      </c>
      <c r="Q35" s="11">
        <v>56.442523217814106</v>
      </c>
      <c r="R35" s="13">
        <v>44.999880507724455</v>
      </c>
      <c r="S35" s="14">
        <v>30.59970301225517</v>
      </c>
      <c r="T35" s="204">
        <f t="shared" si="4"/>
        <v>23.425371135130007</v>
      </c>
      <c r="U35" s="204">
        <f t="shared" si="0"/>
        <v>190.21401361725563</v>
      </c>
      <c r="V35" s="204">
        <f t="shared" si="1"/>
        <v>178.96983547239324</v>
      </c>
      <c r="W35" s="204">
        <f t="shared" si="2"/>
        <v>127.19976526375594</v>
      </c>
      <c r="X35" s="204">
        <f t="shared" si="3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458.91825210771765</v>
      </c>
      <c r="G36" s="4">
        <v>75</v>
      </c>
      <c r="H36" s="13">
        <v>130.8119786705975</v>
      </c>
      <c r="I36" s="5">
        <v>355.31866136089747</v>
      </c>
      <c r="J36" s="6">
        <v>50</v>
      </c>
      <c r="K36" s="14">
        <v>104.64958293647803</v>
      </c>
      <c r="L36" s="7">
        <v>229.83406659769145</v>
      </c>
      <c r="M36" s="8">
        <v>37.5</v>
      </c>
      <c r="O36" s="15">
        <v>33</v>
      </c>
      <c r="P36" s="10">
        <v>115.3410114645293</v>
      </c>
      <c r="Q36" s="11">
        <v>57.89212928872119</v>
      </c>
      <c r="R36" s="13">
        <v>46.16158378266958</v>
      </c>
      <c r="S36" s="14">
        <v>31.393193778177256</v>
      </c>
      <c r="T36" s="204">
        <f t="shared" si="4"/>
        <v>24.090603806739875</v>
      </c>
      <c r="U36" s="204">
        <f aca="true" t="shared" si="5" ref="U36:U67">+T36*$U$3</f>
        <v>195.61570291072778</v>
      </c>
      <c r="V36" s="204">
        <f aca="true" t="shared" si="6" ref="V36:V67">+T36*$V$3</f>
        <v>184.05221308349263</v>
      </c>
      <c r="W36" s="204">
        <f aca="true" t="shared" si="7" ref="W36:W67">+T36*$W$3</f>
        <v>130.8119786705975</v>
      </c>
      <c r="X36" s="204">
        <f aca="true" t="shared" si="8" ref="X36:X67">+T36*$X$3</f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459.1607922079971</v>
      </c>
      <c r="G37" s="4">
        <v>75</v>
      </c>
      <c r="H37" s="13">
        <v>134.41435243609462</v>
      </c>
      <c r="I37" s="5">
        <v>355.55417085215515</v>
      </c>
      <c r="J37" s="6">
        <v>50</v>
      </c>
      <c r="K37" s="14">
        <v>107.5314819488757</v>
      </c>
      <c r="L37" s="7">
        <v>230.01326861858982</v>
      </c>
      <c r="M37" s="8">
        <v>37.5</v>
      </c>
      <c r="O37" s="15">
        <v>34</v>
      </c>
      <c r="P37" s="10">
        <v>118.17075050152964</v>
      </c>
      <c r="Q37" s="11">
        <v>59.34017717214413</v>
      </c>
      <c r="R37" s="13">
        <v>47.32183826006718</v>
      </c>
      <c r="S37" s="14">
        <v>32.185577131171314</v>
      </c>
      <c r="T37" s="204">
        <f t="shared" si="4"/>
        <v>24.754024389704348</v>
      </c>
      <c r="U37" s="204">
        <f t="shared" si="5"/>
        <v>201.0026780443993</v>
      </c>
      <c r="V37" s="204">
        <f t="shared" si="6"/>
        <v>189.12074633734122</v>
      </c>
      <c r="W37" s="204">
        <f t="shared" si="7"/>
        <v>134.41435243609462</v>
      </c>
      <c r="X37" s="204">
        <f t="shared" si="8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459.3835227655834</v>
      </c>
      <c r="G38" s="4">
        <v>75</v>
      </c>
      <c r="H38" s="13">
        <v>138.00720168258013</v>
      </c>
      <c r="I38" s="5">
        <v>355.77044822849285</v>
      </c>
      <c r="J38" s="6">
        <v>50</v>
      </c>
      <c r="K38" s="14">
        <v>110.40576134606412</v>
      </c>
      <c r="L38" s="7">
        <v>230.1778388095714</v>
      </c>
      <c r="M38" s="8">
        <v>37.5</v>
      </c>
      <c r="O38" s="15">
        <v>35</v>
      </c>
      <c r="P38" s="10">
        <v>120.99953181718034</v>
      </c>
      <c r="Q38" s="11">
        <v>60.78675096997828</v>
      </c>
      <c r="R38" s="13">
        <v>48.480716055165004</v>
      </c>
      <c r="S38" s="14">
        <v>32.97690510649832</v>
      </c>
      <c r="T38" s="204">
        <f t="shared" si="4"/>
        <v>25.415690917602237</v>
      </c>
      <c r="U38" s="204">
        <f t="shared" si="5"/>
        <v>206.37541025093014</v>
      </c>
      <c r="V38" s="204">
        <f t="shared" si="6"/>
        <v>194.17587861048108</v>
      </c>
      <c r="W38" s="204">
        <f t="shared" si="7"/>
        <v>138.00720168258013</v>
      </c>
      <c r="X38" s="204">
        <f t="shared" si="8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459.5880068660352</v>
      </c>
      <c r="G39" s="4">
        <v>75</v>
      </c>
      <c r="H39" s="13">
        <v>141.59082273147774</v>
      </c>
      <c r="I39" s="5">
        <v>355.9690104982358</v>
      </c>
      <c r="J39" s="6">
        <v>50</v>
      </c>
      <c r="K39" s="14">
        <v>113.27265818518222</v>
      </c>
      <c r="L39" s="7">
        <v>230.32893097219863</v>
      </c>
      <c r="M39" s="8">
        <v>37.5</v>
      </c>
      <c r="O39" s="15">
        <v>36</v>
      </c>
      <c r="P39" s="10">
        <v>123.82745763650372</v>
      </c>
      <c r="Q39" s="11">
        <v>62.23192632927021</v>
      </c>
      <c r="R39" s="13">
        <v>49.63828241840169</v>
      </c>
      <c r="S39" s="14">
        <v>33.767224997969834</v>
      </c>
      <c r="T39" s="204">
        <f t="shared" si="4"/>
        <v>26.075657961598115</v>
      </c>
      <c r="U39" s="204">
        <f t="shared" si="5"/>
        <v>211.73434264817666</v>
      </c>
      <c r="V39" s="204">
        <f t="shared" si="6"/>
        <v>199.2180268266096</v>
      </c>
      <c r="W39" s="204">
        <f t="shared" si="7"/>
        <v>141.59082273147774</v>
      </c>
      <c r="X39" s="204">
        <f t="shared" si="8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459.7756614646252</v>
      </c>
      <c r="G40" s="4">
        <v>75</v>
      </c>
      <c r="H40" s="13">
        <v>145.1654947158765</v>
      </c>
      <c r="I40" s="5">
        <v>356.151232914331</v>
      </c>
      <c r="J40" s="6">
        <v>75</v>
      </c>
      <c r="K40" s="14">
        <v>116.1323957727012</v>
      </c>
      <c r="L40" s="7">
        <v>230.4675911368099</v>
      </c>
      <c r="M40" s="8">
        <v>37.5</v>
      </c>
      <c r="O40" s="15">
        <v>37</v>
      </c>
      <c r="P40" s="10">
        <v>126.65461696305972</v>
      </c>
      <c r="Q40" s="11">
        <v>63.6757715929553</v>
      </c>
      <c r="R40" s="13">
        <v>50.79459664076916</v>
      </c>
      <c r="S40" s="14">
        <v>34.556579966436395</v>
      </c>
      <c r="T40" s="204">
        <f t="shared" si="4"/>
        <v>26.7339769274174</v>
      </c>
      <c r="U40" s="204">
        <f t="shared" si="5"/>
        <v>217.0798926506293</v>
      </c>
      <c r="V40" s="204">
        <f t="shared" si="6"/>
        <v>204.24758372546893</v>
      </c>
      <c r="W40" s="204">
        <f t="shared" si="7"/>
        <v>145.1654947158765</v>
      </c>
      <c r="X40" s="204">
        <f t="shared" si="8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459.9477733108078</v>
      </c>
      <c r="G41" s="4">
        <v>75</v>
      </c>
      <c r="H41" s="13">
        <v>148.73148101495673</v>
      </c>
      <c r="I41" s="5">
        <v>356.3183644130493</v>
      </c>
      <c r="J41" s="6">
        <v>75</v>
      </c>
      <c r="K41" s="14">
        <v>118.9851848119654</v>
      </c>
      <c r="L41" s="7">
        <v>230.59476929397567</v>
      </c>
      <c r="M41" s="8">
        <v>37.5</v>
      </c>
      <c r="O41" s="15">
        <v>38</v>
      </c>
      <c r="P41" s="10">
        <v>129.48108757009382</v>
      </c>
      <c r="Q41" s="11">
        <v>65.11834876207259</v>
      </c>
      <c r="R41" s="13">
        <v>51.94971281352153</v>
      </c>
      <c r="S41" s="14">
        <v>35.34500955198463</v>
      </c>
      <c r="T41" s="204">
        <f t="shared" si="4"/>
        <v>27.39069631951321</v>
      </c>
      <c r="U41" s="204">
        <f t="shared" si="5"/>
        <v>222.41245411444726</v>
      </c>
      <c r="V41" s="204">
        <f t="shared" si="6"/>
        <v>209.2649198810809</v>
      </c>
      <c r="W41" s="204">
        <f t="shared" si="7"/>
        <v>148.73148101495673</v>
      </c>
      <c r="X41" s="204">
        <f t="shared" si="8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460.1055129055117</v>
      </c>
      <c r="G42" s="4">
        <v>75</v>
      </c>
      <c r="H42" s="13">
        <v>152.2890305341171</v>
      </c>
      <c r="I42" s="5">
        <v>356.4715411468649</v>
      </c>
      <c r="J42" s="6">
        <v>75</v>
      </c>
      <c r="K42" s="14">
        <v>121.83122442729369</v>
      </c>
      <c r="L42" s="7">
        <v>230.71132967866498</v>
      </c>
      <c r="M42" s="8">
        <v>37.5</v>
      </c>
      <c r="O42" s="15">
        <v>39</v>
      </c>
      <c r="P42" s="10">
        <v>132.30693765190983</v>
      </c>
      <c r="Q42" s="11">
        <v>66.55971430471057</v>
      </c>
      <c r="R42" s="13">
        <v>53.103680469170996</v>
      </c>
      <c r="S42" s="14">
        <v>36.13255010747232</v>
      </c>
      <c r="T42" s="204">
        <f t="shared" si="4"/>
        <v>28.045861976817147</v>
      </c>
      <c r="U42" s="204">
        <f t="shared" si="5"/>
        <v>227.7323992517552</v>
      </c>
      <c r="V42" s="204">
        <f t="shared" si="6"/>
        <v>214.270385502883</v>
      </c>
      <c r="W42" s="204">
        <f t="shared" si="7"/>
        <v>152.2890305341171</v>
      </c>
      <c r="X42" s="204">
        <f t="shared" si="8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460.249946759658</v>
      </c>
      <c r="G43" s="4">
        <v>75</v>
      </c>
      <c r="H43" s="13">
        <v>155.8383788509319</v>
      </c>
      <c r="I43" s="5">
        <v>356.6117983712952</v>
      </c>
      <c r="J43" s="6">
        <v>75</v>
      </c>
      <c r="K43" s="14">
        <v>124.67070308074553</v>
      </c>
      <c r="L43" s="7">
        <v>230.81805980424878</v>
      </c>
      <c r="M43" s="8">
        <v>37.5</v>
      </c>
      <c r="O43" s="15">
        <v>40</v>
      </c>
      <c r="P43" s="10">
        <v>135.13222719988366</v>
      </c>
      <c r="Q43" s="11">
        <v>67.99991983963021</v>
      </c>
      <c r="R43" s="13">
        <v>54.25654512516597</v>
      </c>
      <c r="S43" s="14">
        <v>36.91923516742572</v>
      </c>
      <c r="T43" s="204">
        <f t="shared" si="4"/>
        <v>28.699517283781198</v>
      </c>
      <c r="U43" s="204">
        <f t="shared" si="5"/>
        <v>233.0400803443033</v>
      </c>
      <c r="V43" s="204">
        <f t="shared" si="6"/>
        <v>219.26431204808833</v>
      </c>
      <c r="W43" s="204">
        <f t="shared" si="7"/>
        <v>155.8383788509319</v>
      </c>
      <c r="X43" s="204">
        <f t="shared" si="8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460.38204818281685</v>
      </c>
      <c r="G44" s="4">
        <v>75</v>
      </c>
      <c r="H44" s="13">
        <v>159.3797492440034</v>
      </c>
      <c r="I44" s="5">
        <v>356.7400809073531</v>
      </c>
      <c r="J44" s="6">
        <v>75</v>
      </c>
      <c r="K44" s="14">
        <v>127.50379939520273</v>
      </c>
      <c r="L44" s="7">
        <v>230.91567841457083</v>
      </c>
      <c r="M44" s="8">
        <v>50</v>
      </c>
      <c r="O44" s="15">
        <v>41</v>
      </c>
      <c r="P44" s="10">
        <v>137.95700915415534</v>
      </c>
      <c r="Q44" s="11">
        <v>69.4390127168441</v>
      </c>
      <c r="R44" s="13">
        <v>55.40834874733941</v>
      </c>
      <c r="S44" s="14">
        <v>37.70509576352001</v>
      </c>
      <c r="T44" s="204">
        <f t="shared" si="4"/>
        <v>29.351703359853296</v>
      </c>
      <c r="U44" s="204">
        <f t="shared" si="5"/>
        <v>238.33583128200874</v>
      </c>
      <c r="V44" s="204">
        <f t="shared" si="6"/>
        <v>224.24701366927917</v>
      </c>
      <c r="W44" s="204">
        <f t="shared" si="7"/>
        <v>159.3797492440034</v>
      </c>
      <c r="X44" s="204">
        <f t="shared" si="8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460.5027067975769</v>
      </c>
      <c r="G45" s="4">
        <v>75</v>
      </c>
      <c r="H45" s="13">
        <v>162.91335361924027</v>
      </c>
      <c r="I45" s="5">
        <v>356.8572523689806</v>
      </c>
      <c r="J45" s="6">
        <v>75</v>
      </c>
      <c r="K45" s="14">
        <v>130.33068289539224</v>
      </c>
      <c r="L45" s="7">
        <v>231.0048424978263</v>
      </c>
      <c r="M45" s="8">
        <v>50</v>
      </c>
      <c r="O45" s="15">
        <v>42</v>
      </c>
      <c r="P45" s="10">
        <v>140.78133037169155</v>
      </c>
      <c r="Q45" s="11">
        <v>70.87703651302803</v>
      </c>
      <c r="R45" s="13">
        <v>56.559130146865456</v>
      </c>
      <c r="S45" s="14">
        <v>38.49016069568012</v>
      </c>
      <c r="T45" s="204">
        <f t="shared" si="4"/>
        <v>30.002459230062666</v>
      </c>
      <c r="U45" s="204">
        <f t="shared" si="5"/>
        <v>243.61996894810883</v>
      </c>
      <c r="V45" s="204">
        <f t="shared" si="6"/>
        <v>229.21878851767875</v>
      </c>
      <c r="W45" s="204">
        <f t="shared" si="7"/>
        <v>162.91335361924027</v>
      </c>
      <c r="X45" s="204">
        <f t="shared" si="8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460.6127369469548</v>
      </c>
      <c r="G46" s="4">
        <v>75</v>
      </c>
      <c r="H46" s="13">
        <v>166.43939334598775</v>
      </c>
      <c r="I46" s="5">
        <v>356.9641033175254</v>
      </c>
      <c r="J46" s="6">
        <v>75</v>
      </c>
      <c r="K46" s="14">
        <v>133.1515146767902</v>
      </c>
      <c r="L46" s="7">
        <v>231.08615348528468</v>
      </c>
      <c r="M46" s="8">
        <v>50</v>
      </c>
      <c r="O46" s="15">
        <v>43</v>
      </c>
      <c r="P46" s="10">
        <v>143.6052324433064</v>
      </c>
      <c r="Q46" s="11">
        <v>72.31403145617773</v>
      </c>
      <c r="R46" s="13">
        <v>57.708925321822555</v>
      </c>
      <c r="S46" s="14">
        <v>39.27445676611615</v>
      </c>
      <c r="T46" s="204">
        <f t="shared" si="4"/>
        <v>30.65182197900327</v>
      </c>
      <c r="U46" s="204">
        <f t="shared" si="5"/>
        <v>248.89279446950653</v>
      </c>
      <c r="V46" s="204">
        <f t="shared" si="6"/>
        <v>234.17991991958496</v>
      </c>
      <c r="W46" s="204">
        <f t="shared" si="7"/>
        <v>166.43939334598775</v>
      </c>
      <c r="X46" s="204">
        <f t="shared" si="8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460.712885138264</v>
      </c>
      <c r="G47" s="4">
        <v>75</v>
      </c>
      <c r="H47" s="13">
        <v>169.95806001367396</v>
      </c>
      <c r="I47" s="5">
        <v>357.061358482175</v>
      </c>
      <c r="J47" s="6">
        <v>75</v>
      </c>
      <c r="K47" s="14">
        <v>135.9664480109392</v>
      </c>
      <c r="L47" s="7">
        <v>231.16016274033188</v>
      </c>
      <c r="M47" s="8">
        <v>50</v>
      </c>
      <c r="O47" s="15">
        <v>44</v>
      </c>
      <c r="P47" s="10">
        <v>146.4287523858985</v>
      </c>
      <c r="Q47" s="11">
        <v>73.75003479120345</v>
      </c>
      <c r="R47" s="13">
        <v>58.85776775238537</v>
      </c>
      <c r="S47" s="14">
        <v>40.058008982251515</v>
      </c>
      <c r="T47" s="204">
        <f t="shared" si="4"/>
        <v>31.299826890179368</v>
      </c>
      <c r="U47" s="204">
        <f t="shared" si="5"/>
        <v>254.15459434825644</v>
      </c>
      <c r="V47" s="204">
        <f t="shared" si="6"/>
        <v>239.13067744097037</v>
      </c>
      <c r="W47" s="204">
        <f t="shared" si="7"/>
        <v>169.95806001367396</v>
      </c>
      <c r="X47" s="204">
        <f t="shared" si="8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460.80383664659615</v>
      </c>
      <c r="G48" s="4">
        <v>100</v>
      </c>
      <c r="H48" s="13">
        <v>173.46953611816463</v>
      </c>
      <c r="I48" s="5">
        <v>357.14968316565734</v>
      </c>
      <c r="J48" s="6">
        <v>75</v>
      </c>
      <c r="K48" s="14">
        <v>138.77562889453174</v>
      </c>
      <c r="L48" s="7">
        <v>231.22737642842932</v>
      </c>
      <c r="M48" s="8">
        <v>50</v>
      </c>
      <c r="O48" s="15">
        <v>45</v>
      </c>
      <c r="P48" s="10">
        <v>149.25192323114692</v>
      </c>
      <c r="Q48" s="11">
        <v>75.185081095991</v>
      </c>
      <c r="R48" s="13">
        <v>60.00568865701351</v>
      </c>
      <c r="S48" s="14">
        <v>40.840840733417835</v>
      </c>
      <c r="T48" s="204">
        <f t="shared" si="4"/>
        <v>31.946507572406013</v>
      </c>
      <c r="U48" s="204">
        <f t="shared" si="5"/>
        <v>259.4056414879368</v>
      </c>
      <c r="V48" s="204">
        <f t="shared" si="6"/>
        <v>244.07131785318194</v>
      </c>
      <c r="W48" s="204">
        <f t="shared" si="7"/>
        <v>173.46953611816463</v>
      </c>
      <c r="X48" s="204">
        <f t="shared" si="8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460.88622138385495</v>
      </c>
      <c r="G49" s="4">
        <v>100</v>
      </c>
      <c r="H49" s="13">
        <v>176.97399568577063</v>
      </c>
      <c r="I49" s="5">
        <v>357.22968893785225</v>
      </c>
      <c r="J49" s="6">
        <v>75</v>
      </c>
      <c r="K49" s="14">
        <v>141.57919654861652</v>
      </c>
      <c r="L49" s="7">
        <v>231.2882598459428</v>
      </c>
      <c r="M49" s="8">
        <v>50</v>
      </c>
      <c r="O49" s="15">
        <v>46</v>
      </c>
      <c r="P49" s="10">
        <v>152.07477452793887</v>
      </c>
      <c r="Q49" s="11">
        <v>76.61920255573415</v>
      </c>
      <c r="R49" s="13">
        <v>61.15271721568549</v>
      </c>
      <c r="S49" s="14">
        <v>41.62297394532704</v>
      </c>
      <c r="T49" s="204">
        <f t="shared" si="4"/>
        <v>32.59189607472756</v>
      </c>
      <c r="U49" s="204">
        <f t="shared" si="5"/>
        <v>264.64619612678774</v>
      </c>
      <c r="V49" s="204">
        <f t="shared" si="6"/>
        <v>249.00208601091853</v>
      </c>
      <c r="W49" s="204">
        <f t="shared" si="7"/>
        <v>176.97399568577063</v>
      </c>
      <c r="X49" s="204">
        <f t="shared" si="8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460.96061912466956</v>
      </c>
      <c r="G50" s="4">
        <v>100</v>
      </c>
      <c r="H50" s="13">
        <v>180.47160484180637</v>
      </c>
      <c r="I50" s="5">
        <v>357.30193870580723</v>
      </c>
      <c r="J50" s="6">
        <v>75</v>
      </c>
      <c r="K50" s="14">
        <v>144.37728387344512</v>
      </c>
      <c r="L50" s="7">
        <v>231.3432412750582</v>
      </c>
      <c r="M50" s="8">
        <v>50</v>
      </c>
      <c r="O50" s="15">
        <v>47</v>
      </c>
      <c r="P50" s="10">
        <v>154.89733277263946</v>
      </c>
      <c r="Q50" s="11">
        <v>78.05242920196471</v>
      </c>
      <c r="R50" s="13">
        <v>62.29888076516903</v>
      </c>
      <c r="S50" s="14">
        <v>42.40442921563558</v>
      </c>
      <c r="T50" s="204">
        <f t="shared" si="4"/>
        <v>33.236022991124564</v>
      </c>
      <c r="U50" s="204">
        <f t="shared" si="5"/>
        <v>269.87650668793145</v>
      </c>
      <c r="V50" s="204">
        <f t="shared" si="6"/>
        <v>253.92321565219166</v>
      </c>
      <c r="W50" s="204">
        <f t="shared" si="7"/>
        <v>180.47160484180637</v>
      </c>
      <c r="X50" s="204">
        <f t="shared" si="8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461.02756416805255</v>
      </c>
      <c r="G51" s="4">
        <v>100</v>
      </c>
      <c r="H51" s="13">
        <v>183.96252232969957</v>
      </c>
      <c r="I51" s="5">
        <v>357.3669512365853</v>
      </c>
      <c r="J51" s="6">
        <v>75</v>
      </c>
      <c r="K51" s="14">
        <v>147.17001786375968</v>
      </c>
      <c r="L51" s="7">
        <v>231.39271542283072</v>
      </c>
      <c r="M51" s="8">
        <v>50</v>
      </c>
      <c r="O51" s="15">
        <v>48</v>
      </c>
      <c r="P51" s="10">
        <v>157.7196217787702</v>
      </c>
      <c r="Q51" s="11">
        <v>79.48478912158923</v>
      </c>
      <c r="R51" s="13">
        <v>63.44420497046026</v>
      </c>
      <c r="S51" s="14">
        <v>43.1852259333523</v>
      </c>
      <c r="T51" s="204">
        <f t="shared" si="4"/>
        <v>33.878917556114104</v>
      </c>
      <c r="U51" s="204">
        <f t="shared" si="5"/>
        <v>275.09681055564647</v>
      </c>
      <c r="V51" s="204">
        <f t="shared" si="6"/>
        <v>258.83493012871173</v>
      </c>
      <c r="W51" s="204">
        <f t="shared" si="7"/>
        <v>183.96252232969957</v>
      </c>
      <c r="X51" s="204">
        <f t="shared" si="8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461.087549503038</v>
      </c>
      <c r="G52" s="4">
        <v>100</v>
      </c>
      <c r="H52" s="13">
        <v>187.44689998589305</v>
      </c>
      <c r="I52" s="5">
        <v>357.42520519907725</v>
      </c>
      <c r="J52" s="6">
        <v>75</v>
      </c>
      <c r="K52" s="14">
        <v>149.95751998871447</v>
      </c>
      <c r="L52" s="7">
        <v>231.4370464946163</v>
      </c>
      <c r="M52" s="8">
        <v>50</v>
      </c>
      <c r="O52" s="15">
        <v>49</v>
      </c>
      <c r="P52" s="10">
        <v>160.54166299563678</v>
      </c>
      <c r="Q52" s="11">
        <v>80.91630864034832</v>
      </c>
      <c r="R52" s="13">
        <v>64.58871397583758</v>
      </c>
      <c r="S52" s="14">
        <v>43.96538238438816</v>
      </c>
      <c r="T52" s="204">
        <f t="shared" si="4"/>
        <v>34.52060773220867</v>
      </c>
      <c r="U52" s="204">
        <f t="shared" si="5"/>
        <v>280.30733478553435</v>
      </c>
      <c r="V52" s="204">
        <f t="shared" si="6"/>
        <v>263.7374430740742</v>
      </c>
      <c r="W52" s="204">
        <f t="shared" si="7"/>
        <v>187.44689998589305</v>
      </c>
      <c r="X52" s="204">
        <f t="shared" si="8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461.14103053747726</v>
      </c>
      <c r="G53" s="4">
        <v>100</v>
      </c>
      <c r="H53" s="13">
        <v>190.92488317513013</v>
      </c>
      <c r="I53" s="5">
        <v>357.4771427821414</v>
      </c>
      <c r="J53" s="6">
        <v>75</v>
      </c>
      <c r="K53" s="14">
        <v>152.73990654010413</v>
      </c>
      <c r="L53" s="7">
        <v>231.47657094545622</v>
      </c>
      <c r="M53" s="8">
        <v>50</v>
      </c>
      <c r="O53" s="15">
        <v>50</v>
      </c>
      <c r="P53" s="10">
        <v>163.3634757837749</v>
      </c>
      <c r="Q53" s="11">
        <v>82.3470124843717</v>
      </c>
      <c r="R53" s="13">
        <v>65.73243053840304</v>
      </c>
      <c r="S53" s="14">
        <v>44.74491584516868</v>
      </c>
      <c r="T53" s="204">
        <f t="shared" si="4"/>
        <v>35.16112029007922</v>
      </c>
      <c r="U53" s="204">
        <f t="shared" si="5"/>
        <v>285.5082967554432</v>
      </c>
      <c r="V53" s="204">
        <f t="shared" si="6"/>
        <v>268.6309590162052</v>
      </c>
      <c r="W53" s="204">
        <f t="shared" si="7"/>
        <v>190.92488317513013</v>
      </c>
      <c r="X53" s="204">
        <f t="shared" si="8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461.188428441375</v>
      </c>
      <c r="G54" s="4">
        <v>100</v>
      </c>
      <c r="H54" s="13">
        <v>194.3966111901535</v>
      </c>
      <c r="I54" s="5">
        <v>357.52317293887705</v>
      </c>
      <c r="J54" s="6">
        <v>75</v>
      </c>
      <c r="K54" s="14">
        <v>155.5172889521228</v>
      </c>
      <c r="L54" s="7">
        <v>231.5115999472632</v>
      </c>
      <c r="M54" s="8">
        <v>50</v>
      </c>
      <c r="O54" s="15">
        <v>51</v>
      </c>
      <c r="P54" s="10">
        <v>166.18507765376836</v>
      </c>
      <c r="Q54" s="11">
        <v>83.77692392291519</v>
      </c>
      <c r="R54" s="13">
        <v>66.8753761465307</v>
      </c>
      <c r="S54" s="14">
        <v>45.52384266592989</v>
      </c>
      <c r="T54" s="204">
        <f t="shared" si="4"/>
        <v>35.80048088216455</v>
      </c>
      <c r="U54" s="204">
        <f t="shared" si="5"/>
        <v>290.6999047631761</v>
      </c>
      <c r="V54" s="204">
        <f t="shared" si="6"/>
        <v>273.51567393973716</v>
      </c>
      <c r="W54" s="204">
        <f t="shared" si="7"/>
        <v>194.3966111901535</v>
      </c>
      <c r="X54" s="204">
        <f t="shared" si="8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461.23013314950174</v>
      </c>
      <c r="G55" s="4">
        <v>100</v>
      </c>
      <c r="H55" s="13">
        <v>197.86221761936665</v>
      </c>
      <c r="I55" s="5">
        <v>357.56367430040626</v>
      </c>
      <c r="J55" s="6">
        <v>75</v>
      </c>
      <c r="K55" s="14">
        <v>158.28977409549336</v>
      </c>
      <c r="L55" s="7">
        <v>231.5424216047659</v>
      </c>
      <c r="M55" s="8">
        <v>50</v>
      </c>
      <c r="O55" s="15">
        <v>52</v>
      </c>
      <c r="P55" s="10">
        <v>169.00648447388303</v>
      </c>
      <c r="Q55" s="11">
        <v>85.20606489486602</v>
      </c>
      <c r="R55" s="13">
        <v>68.01757112525503</v>
      </c>
      <c r="S55" s="14">
        <v>46.302178345063254</v>
      </c>
      <c r="T55" s="204">
        <f t="shared" si="4"/>
        <v>36.4387141103806</v>
      </c>
      <c r="U55" s="204">
        <f t="shared" si="5"/>
        <v>295.88235857629047</v>
      </c>
      <c r="V55" s="204">
        <f t="shared" si="6"/>
        <v>278.3917758033078</v>
      </c>
      <c r="W55" s="204">
        <f t="shared" si="7"/>
        <v>197.86221761936665</v>
      </c>
      <c r="X55" s="204">
        <f t="shared" si="8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461.2665060622917</v>
      </c>
      <c r="G56" s="4">
        <v>100</v>
      </c>
      <c r="H56" s="13">
        <v>201.32183068559527</v>
      </c>
      <c r="I56" s="5">
        <v>357.59899779697497</v>
      </c>
      <c r="J56" s="6">
        <v>75</v>
      </c>
      <c r="K56" s="14">
        <v>161.05746454847625</v>
      </c>
      <c r="L56" s="7">
        <v>231.56930294894042</v>
      </c>
      <c r="M56" s="8">
        <v>50</v>
      </c>
      <c r="O56" s="15">
        <v>53</v>
      </c>
      <c r="P56" s="10">
        <v>171.82771065107232</v>
      </c>
      <c r="Q56" s="11">
        <v>86.63445612120222</v>
      </c>
      <c r="R56" s="13">
        <v>69.15903473032132</v>
      </c>
      <c r="S56" s="14">
        <v>47.0799375956681</v>
      </c>
      <c r="T56" s="204">
        <f t="shared" si="4"/>
        <v>37.07584358850742</v>
      </c>
      <c r="U56" s="204">
        <f t="shared" si="5"/>
        <v>301.0558499386802</v>
      </c>
      <c r="V56" s="204">
        <f t="shared" si="6"/>
        <v>283.25944501619665</v>
      </c>
      <c r="W56" s="204">
        <f t="shared" si="7"/>
        <v>201.32183068559527</v>
      </c>
      <c r="X56" s="204">
        <f t="shared" si="8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461.2978824790835</v>
      </c>
      <c r="G57" s="4">
        <v>100</v>
      </c>
      <c r="H57" s="13">
        <v>204.77557355871878</v>
      </c>
      <c r="I57" s="5">
        <v>357.6294690194069</v>
      </c>
      <c r="J57" s="6">
        <v>75</v>
      </c>
      <c r="K57" s="14">
        <v>163.82045884697504</v>
      </c>
      <c r="L57" s="7">
        <v>231.5924917330424</v>
      </c>
      <c r="M57" s="8">
        <v>50</v>
      </c>
      <c r="O57" s="15">
        <v>54</v>
      </c>
      <c r="P57" s="10">
        <v>174.6487692891881</v>
      </c>
      <c r="Q57" s="11">
        <v>88.06211720526082</v>
      </c>
      <c r="R57" s="13">
        <v>70.29978523236343</v>
      </c>
      <c r="S57" s="14">
        <v>47.8571344053002</v>
      </c>
      <c r="T57" s="204">
        <f t="shared" si="4"/>
        <v>37.71189199976405</v>
      </c>
      <c r="U57" s="204">
        <f t="shared" si="5"/>
        <v>306.22056303808404</v>
      </c>
      <c r="V57" s="204">
        <f t="shared" si="6"/>
        <v>288.11885487819734</v>
      </c>
      <c r="W57" s="204">
        <f t="shared" si="7"/>
        <v>204.77557355871878</v>
      </c>
      <c r="X57" s="204">
        <f t="shared" si="8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461.32457379355196</v>
      </c>
      <c r="G58" s="4">
        <v>100</v>
      </c>
      <c r="H58" s="13">
        <v>208.22356464463715</v>
      </c>
      <c r="I58" s="5">
        <v>357.65539034984323</v>
      </c>
      <c r="J58" s="6">
        <v>75</v>
      </c>
      <c r="K58" s="14">
        <v>166.57885171570976</v>
      </c>
      <c r="L58" s="7">
        <v>231.61221805321495</v>
      </c>
      <c r="M58" s="8">
        <v>50</v>
      </c>
      <c r="O58" s="15">
        <v>55</v>
      </c>
      <c r="P58" s="10">
        <v>177.46967232759556</v>
      </c>
      <c r="Q58" s="11">
        <v>89.489066722381</v>
      </c>
      <c r="R58" s="13">
        <v>71.43983999244941</v>
      </c>
      <c r="S58" s="14">
        <v>48.633782089754995</v>
      </c>
      <c r="T58" s="204">
        <f t="shared" si="4"/>
        <v>38.34688115002526</v>
      </c>
      <c r="U58" s="204">
        <f t="shared" si="5"/>
        <v>311.3766749382051</v>
      </c>
      <c r="V58" s="204">
        <f t="shared" si="6"/>
        <v>292.970171986193</v>
      </c>
      <c r="W58" s="204">
        <f t="shared" si="7"/>
        <v>208.22356464463715</v>
      </c>
      <c r="X58" s="204">
        <f t="shared" si="8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461.34686947744996</v>
      </c>
      <c r="G59" s="4">
        <v>100</v>
      </c>
      <c r="H59" s="13">
        <v>211.66591785276051</v>
      </c>
      <c r="I59" s="5">
        <v>357.6770428871073</v>
      </c>
      <c r="J59" s="6">
        <v>75</v>
      </c>
      <c r="K59" s="14">
        <v>169.33273428220843</v>
      </c>
      <c r="L59" s="7">
        <v>231.62869581294476</v>
      </c>
      <c r="M59" s="8">
        <v>50</v>
      </c>
      <c r="O59" s="15">
        <v>56</v>
      </c>
      <c r="P59" s="10">
        <v>180.2904306629298</v>
      </c>
      <c r="Q59" s="11">
        <v>90.91532230027221</v>
      </c>
      <c r="R59" s="13">
        <v>72.57921553006639</v>
      </c>
      <c r="S59" s="14">
        <v>49.40989334161165</v>
      </c>
      <c r="T59" s="204">
        <f t="shared" si="4"/>
        <v>38.98083201708297</v>
      </c>
      <c r="U59" s="204">
        <f t="shared" si="5"/>
        <v>316.5243559787137</v>
      </c>
      <c r="V59" s="204">
        <f t="shared" si="6"/>
        <v>297.81355661051384</v>
      </c>
      <c r="W59" s="204">
        <f t="shared" si="7"/>
        <v>211.66591785276051</v>
      </c>
      <c r="X59" s="204">
        <f t="shared" si="8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461.36503887564703</v>
      </c>
      <c r="G60" s="4">
        <v>100</v>
      </c>
      <c r="H60" s="13">
        <v>215.10274284397178</v>
      </c>
      <c r="I60" s="5">
        <v>357.69468818897826</v>
      </c>
      <c r="J60" s="6">
        <v>75</v>
      </c>
      <c r="K60" s="14">
        <v>172.08219427517744</v>
      </c>
      <c r="L60" s="7">
        <v>231.6421240482939</v>
      </c>
      <c r="M60" s="8">
        <v>75</v>
      </c>
      <c r="O60" s="15">
        <v>57</v>
      </c>
      <c r="P60" s="10">
        <v>183.11105425627937</v>
      </c>
      <c r="Q60" s="11">
        <v>92.34090069124909</v>
      </c>
      <c r="R60" s="13">
        <v>73.71792758445487</v>
      </c>
      <c r="S60" s="14">
        <v>50.18548027415579</v>
      </c>
      <c r="T60" s="204">
        <f t="shared" si="4"/>
        <v>39.613764796311564</v>
      </c>
      <c r="U60" s="204">
        <f t="shared" si="5"/>
        <v>321.66377014604984</v>
      </c>
      <c r="V60" s="204">
        <f t="shared" si="6"/>
        <v>302.64916304382035</v>
      </c>
      <c r="W60" s="204">
        <f t="shared" si="7"/>
        <v>215.10274284397178</v>
      </c>
      <c r="X60" s="204">
        <f t="shared" si="8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461.37933283266705</v>
      </c>
      <c r="G61" s="4">
        <v>100</v>
      </c>
      <c r="H61" s="13">
        <v>218.5341452608086</v>
      </c>
      <c r="I61" s="5">
        <v>357.7085698509687</v>
      </c>
      <c r="J61" s="6">
        <v>75</v>
      </c>
      <c r="K61" s="14">
        <v>174.82731620864692</v>
      </c>
      <c r="L61" s="7">
        <v>231.6526881288101</v>
      </c>
      <c r="M61" s="8">
        <v>75</v>
      </c>
      <c r="O61" s="15">
        <v>58</v>
      </c>
      <c r="P61" s="10">
        <v>185.93155222776082</v>
      </c>
      <c r="Q61" s="11">
        <v>93.76581783732283</v>
      </c>
      <c r="R61" s="13">
        <v>74.85599117008134</v>
      </c>
      <c r="S61" s="14">
        <v>50.960554461218365</v>
      </c>
      <c r="T61" s="204">
        <f t="shared" si="4"/>
        <v>40.24569894305868</v>
      </c>
      <c r="U61" s="204">
        <f t="shared" si="5"/>
        <v>326.79507541763644</v>
      </c>
      <c r="V61" s="204">
        <f t="shared" si="6"/>
        <v>307.4771399249683</v>
      </c>
      <c r="W61" s="204">
        <f t="shared" si="7"/>
        <v>218.5341452608086</v>
      </c>
      <c r="X61" s="204">
        <f t="shared" si="8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461.38998516853405</v>
      </c>
      <c r="G62" s="4">
        <v>100</v>
      </c>
      <c r="H62" s="13">
        <v>221.9602269414197</v>
      </c>
      <c r="I62" s="5">
        <v>357.71891493888575</v>
      </c>
      <c r="J62" s="6">
        <v>100</v>
      </c>
      <c r="K62" s="14">
        <v>177.5681815531358</v>
      </c>
      <c r="L62" s="7">
        <v>231.66056084724292</v>
      </c>
      <c r="M62" s="8">
        <v>75</v>
      </c>
      <c r="O62" s="15">
        <v>59</v>
      </c>
      <c r="P62" s="10">
        <v>188.75193294014335</v>
      </c>
      <c r="Q62" s="11">
        <v>95.19008892899515</v>
      </c>
      <c r="R62" s="13">
        <v>75.99342062692747</v>
      </c>
      <c r="S62" s="14">
        <v>51.73512697339321</v>
      </c>
      <c r="T62" s="204">
        <f t="shared" si="4"/>
        <v>40.87665321204783</v>
      </c>
      <c r="U62" s="204">
        <f t="shared" si="5"/>
        <v>331.91842408182833</v>
      </c>
      <c r="V62" s="204">
        <f t="shared" si="6"/>
        <v>312.29763054004536</v>
      </c>
      <c r="W62" s="204">
        <f t="shared" si="7"/>
        <v>221.9602269414197</v>
      </c>
      <c r="X62" s="204">
        <f t="shared" si="8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461.397214019655</v>
      </c>
      <c r="G63" s="4">
        <v>100</v>
      </c>
      <c r="H63" s="13">
        <v>225.3810861186979</v>
      </c>
      <c r="I63" s="5">
        <v>357.7259352904234</v>
      </c>
      <c r="J63" s="6">
        <v>100</v>
      </c>
      <c r="K63" s="14">
        <v>180.30486889495833</v>
      </c>
      <c r="L63" s="7">
        <v>231.6659034096661</v>
      </c>
      <c r="M63" s="8">
        <v>75</v>
      </c>
      <c r="O63" s="15">
        <v>60</v>
      </c>
      <c r="P63" s="10">
        <v>191.5722040729474</v>
      </c>
      <c r="Q63" s="11">
        <v>96.61372845848882</v>
      </c>
      <c r="R63" s="13">
        <v>77.13022966618448</v>
      </c>
      <c r="S63" s="14">
        <v>52.509208411035964</v>
      </c>
      <c r="T63" s="204">
        <f t="shared" si="4"/>
        <v>41.50664569405118</v>
      </c>
      <c r="U63" s="204">
        <f t="shared" si="5"/>
        <v>337.03396303569554</v>
      </c>
      <c r="V63" s="204">
        <f t="shared" si="6"/>
        <v>317.110773102551</v>
      </c>
      <c r="W63" s="204">
        <f t="shared" si="7"/>
        <v>225.3810861186979</v>
      </c>
      <c r="X63" s="204">
        <f t="shared" si="8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461.4012230586425</v>
      </c>
      <c r="G64" s="4">
        <v>100</v>
      </c>
      <c r="H64" s="13">
        <v>228.79681760584717</v>
      </c>
      <c r="I64" s="5">
        <v>357.7298286992798</v>
      </c>
      <c r="J64" s="6">
        <v>100</v>
      </c>
      <c r="K64" s="14">
        <v>183.03745408467776</v>
      </c>
      <c r="L64" s="7">
        <v>231.66886633625663</v>
      </c>
      <c r="M64" s="8">
        <v>75</v>
      </c>
      <c r="O64" s="15">
        <v>61</v>
      </c>
      <c r="P64" s="10">
        <v>194.3923726882371</v>
      </c>
      <c r="Q64" s="11">
        <v>98.03675026804987</v>
      </c>
      <c r="R64" s="13">
        <v>78.26643141186422</v>
      </c>
      <c r="S64" s="14">
        <v>53.28280893439512</v>
      </c>
      <c r="T64" s="204">
        <f t="shared" si="4"/>
        <v>42.13569385006394</v>
      </c>
      <c r="U64" s="204">
        <f t="shared" si="5"/>
        <v>342.14183406251914</v>
      </c>
      <c r="V64" s="204">
        <f t="shared" si="6"/>
        <v>321.91670101448847</v>
      </c>
      <c r="W64" s="204">
        <f t="shared" si="7"/>
        <v>228.79681760584717</v>
      </c>
      <c r="X64" s="204">
        <f t="shared" si="8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461.40220260539166</v>
      </c>
      <c r="G65" s="4">
        <v>100</v>
      </c>
      <c r="H65" s="13">
        <v>232.20751296951138</v>
      </c>
      <c r="I65" s="5">
        <v>357.7307799937418</v>
      </c>
      <c r="J65" s="6">
        <v>100</v>
      </c>
      <c r="K65" s="14">
        <v>185.76601037560914</v>
      </c>
      <c r="L65" s="7">
        <v>231.66959028181319</v>
      </c>
      <c r="M65" s="8">
        <v>75</v>
      </c>
      <c r="O65" s="15">
        <v>62</v>
      </c>
      <c r="P65" s="10">
        <v>197.2124452891523</v>
      </c>
      <c r="Q65" s="11">
        <v>99.4591675938737</v>
      </c>
      <c r="R65" s="13">
        <v>79.40203843877211</v>
      </c>
      <c r="S65" s="14">
        <v>54.055938291180965</v>
      </c>
      <c r="T65" s="204">
        <f t="shared" si="4"/>
        <v>42.763814543188104</v>
      </c>
      <c r="U65" s="204">
        <f t="shared" si="5"/>
        <v>347.2421740906874</v>
      </c>
      <c r="V65" s="204">
        <f t="shared" si="6"/>
        <v>326.7155431099571</v>
      </c>
      <c r="W65" s="204">
        <f t="shared" si="7"/>
        <v>232.20751296951138</v>
      </c>
      <c r="X65" s="204">
        <f t="shared" si="8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461.40033064034793</v>
      </c>
      <c r="G66" s="4">
        <v>112.5</v>
      </c>
      <c r="H66" s="13">
        <v>235.61326069149047</v>
      </c>
      <c r="I66" s="5">
        <v>357.72896202034644</v>
      </c>
      <c r="J66" s="6">
        <v>100</v>
      </c>
      <c r="K66" s="14">
        <v>188.4906085531924</v>
      </c>
      <c r="L66" s="7">
        <v>231.66820678408223</v>
      </c>
      <c r="M66" s="8">
        <v>75</v>
      </c>
      <c r="O66" s="15">
        <v>63</v>
      </c>
      <c r="P66" s="10">
        <v>200.03242787207273</v>
      </c>
      <c r="Q66" s="11">
        <v>100.88099310613133</v>
      </c>
      <c r="R66" s="13">
        <v>80.5370628072285</v>
      </c>
      <c r="S66" s="14">
        <v>54.828605841838865</v>
      </c>
      <c r="T66" s="204">
        <f t="shared" si="4"/>
        <v>43.39102406841445</v>
      </c>
      <c r="U66" s="204">
        <f t="shared" si="5"/>
        <v>352.3351154355253</v>
      </c>
      <c r="V66" s="204">
        <f t="shared" si="6"/>
        <v>331.5074238826864</v>
      </c>
      <c r="W66" s="204">
        <f t="shared" si="7"/>
        <v>235.61326069149047</v>
      </c>
      <c r="X66" s="204">
        <f t="shared" si="8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461.3957737296549</v>
      </c>
      <c r="G67" s="4">
        <v>112.5</v>
      </c>
      <c r="H67" s="13">
        <v>239.01414631996184</v>
      </c>
      <c r="I67" s="5">
        <v>357.72453654202053</v>
      </c>
      <c r="J67" s="6">
        <v>100</v>
      </c>
      <c r="K67" s="14">
        <v>191.2113170559695</v>
      </c>
      <c r="L67" s="7">
        <v>231.664838947039</v>
      </c>
      <c r="M67" s="8">
        <v>75</v>
      </c>
      <c r="O67" s="15">
        <v>64</v>
      </c>
      <c r="P67" s="10">
        <v>202.85232597320962</v>
      </c>
      <c r="Q67" s="11">
        <v>102.30223894552336</v>
      </c>
      <c r="R67" s="13">
        <v>81.67151609488373</v>
      </c>
      <c r="S67" s="14">
        <v>55.60082058276518</v>
      </c>
      <c r="T67" s="204">
        <f t="shared" si="4"/>
        <v>44.017338180471796</v>
      </c>
      <c r="U67" s="204">
        <f t="shared" si="5"/>
        <v>357.42078602543097</v>
      </c>
      <c r="V67" s="204">
        <f t="shared" si="6"/>
        <v>336.2924636988045</v>
      </c>
      <c r="W67" s="204">
        <f t="shared" si="7"/>
        <v>239.01414631996184</v>
      </c>
      <c r="X67" s="204">
        <f t="shared" si="8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461.3886878708453</v>
      </c>
      <c r="G68" s="4">
        <v>112.5</v>
      </c>
      <c r="H68" s="13">
        <v>242.4102526110425</v>
      </c>
      <c r="I68" s="5">
        <v>357.7176550591035</v>
      </c>
      <c r="J68" s="6">
        <v>100</v>
      </c>
      <c r="K68" s="14">
        <v>193.928202088834</v>
      </c>
      <c r="L68" s="7">
        <v>231.65960206550966</v>
      </c>
      <c r="M68" s="8">
        <v>75</v>
      </c>
      <c r="O68" s="15">
        <v>65</v>
      </c>
      <c r="P68" s="10">
        <v>205.67214471026685</v>
      </c>
      <c r="Q68" s="11">
        <v>103.72291675671653</v>
      </c>
      <c r="R68" s="13">
        <v>82.8054094259179</v>
      </c>
      <c r="S68" s="14">
        <v>56.37259116766727</v>
      </c>
      <c r="T68" s="204">
        <f t="shared" si="4"/>
        <v>44.64277211989733</v>
      </c>
      <c r="U68" s="204">
        <f aca="true" t="shared" si="9" ref="U68:U99">+T68*$U$3</f>
        <v>362.4993096135663</v>
      </c>
      <c r="V68" s="204">
        <f aca="true" t="shared" si="10" ref="V68:V99">+T68*$V$3</f>
        <v>341.0707789960156</v>
      </c>
      <c r="W68" s="204">
        <f aca="true" t="shared" si="11" ref="W68:W99">+T68*$W$3</f>
        <v>242.4102526110425</v>
      </c>
      <c r="X68" s="204">
        <f aca="true" t="shared" si="12" ref="X68:X99">+T68*$X$3</f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461.3792192667473</v>
      </c>
      <c r="G69" s="4">
        <v>112.5</v>
      </c>
      <c r="H69" s="13">
        <v>245.80165966144872</v>
      </c>
      <c r="I69" s="5">
        <v>357.70845956069667</v>
      </c>
      <c r="J69" s="6">
        <v>100</v>
      </c>
      <c r="K69" s="14">
        <v>196.641327729159</v>
      </c>
      <c r="L69" s="7">
        <v>231.65260419680197</v>
      </c>
      <c r="M69" s="8">
        <v>75</v>
      </c>
      <c r="O69" s="15">
        <v>66</v>
      </c>
      <c r="P69" s="10">
        <v>208.49188881978992</v>
      </c>
      <c r="Q69" s="11">
        <v>105.14303771899947</v>
      </c>
      <c r="R69" s="13">
        <v>83.938753497898</v>
      </c>
      <c r="S69" s="14">
        <v>57.143925927256674</v>
      </c>
      <c r="T69" s="204">
        <f aca="true" t="shared" si="13" ref="T69:T108">+POWER(A69,0.91)</f>
        <v>45.26734063746754</v>
      </c>
      <c r="U69" s="204">
        <f t="shared" si="9"/>
        <v>367.5708059762364</v>
      </c>
      <c r="V69" s="204">
        <f t="shared" si="10"/>
        <v>345.842482470252</v>
      </c>
      <c r="W69" s="204">
        <f t="shared" si="11"/>
        <v>245.80165966144872</v>
      </c>
      <c r="X69" s="204">
        <f t="shared" si="12"/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461.3675050344906</v>
      </c>
      <c r="G70" s="4">
        <v>112.5</v>
      </c>
      <c r="H70" s="13">
        <v>249.1884450329386</v>
      </c>
      <c r="I70" s="5">
        <v>357.6970832130211</v>
      </c>
      <c r="J70" s="6">
        <v>100</v>
      </c>
      <c r="K70" s="14">
        <v>199.35075602635092</v>
      </c>
      <c r="L70" s="7">
        <v>231.64394668442102</v>
      </c>
      <c r="M70" s="8">
        <v>75</v>
      </c>
      <c r="O70" s="15">
        <v>67</v>
      </c>
      <c r="P70" s="10">
        <v>211.31156269067912</v>
      </c>
      <c r="Q70" s="11">
        <v>106.5626125744295</v>
      </c>
      <c r="R70" s="13">
        <v>85.07155860651633</v>
      </c>
      <c r="S70" s="14">
        <v>57.91483288743127</v>
      </c>
      <c r="T70" s="204">
        <f t="shared" si="13"/>
        <v>45.89105801711577</v>
      </c>
      <c r="U70" s="204">
        <f t="shared" si="9"/>
        <v>372.63539109898</v>
      </c>
      <c r="V70" s="204">
        <f t="shared" si="10"/>
        <v>350.60768325076447</v>
      </c>
      <c r="W70" s="204">
        <f t="shared" si="11"/>
        <v>249.1884450329386</v>
      </c>
      <c r="X70" s="204">
        <f t="shared" si="12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461.3536738557493</v>
      </c>
      <c r="G71" s="4">
        <v>112.5</v>
      </c>
      <c r="H71" s="13">
        <v>252.57068386916137</v>
      </c>
      <c r="I71" s="5">
        <v>357.68365099073696</v>
      </c>
      <c r="J71" s="6">
        <v>100</v>
      </c>
      <c r="K71" s="14">
        <v>202.0565470953291</v>
      </c>
      <c r="L71" s="7">
        <v>231.63372463839784</v>
      </c>
      <c r="M71" s="8">
        <v>75</v>
      </c>
      <c r="O71" s="15">
        <v>68</v>
      </c>
      <c r="P71" s="10">
        <v>214.1311703943222</v>
      </c>
      <c r="Q71" s="11">
        <v>107.98165165372636</v>
      </c>
      <c r="R71" s="13">
        <v>86.20383466841959</v>
      </c>
      <c r="S71" s="14">
        <v>58.685319786092194</v>
      </c>
      <c r="T71" s="204">
        <f t="shared" si="13"/>
        <v>46.51393809745145</v>
      </c>
      <c r="U71" s="204">
        <f t="shared" si="9"/>
        <v>377.69317735130574</v>
      </c>
      <c r="V71" s="204">
        <f t="shared" si="10"/>
        <v>355.36648706452905</v>
      </c>
      <c r="W71" s="204">
        <f t="shared" si="11"/>
        <v>252.57068386916137</v>
      </c>
      <c r="X71" s="204">
        <f t="shared" si="12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461.33784657371257</v>
      </c>
      <c r="G72" s="4">
        <v>112.5</v>
      </c>
      <c r="H72" s="13">
        <v>255.9484490054822</v>
      </c>
      <c r="I72" s="5">
        <v>357.66828025654854</v>
      </c>
      <c r="J72" s="6">
        <v>100</v>
      </c>
      <c r="K72" s="14">
        <v>204.7587592043858</v>
      </c>
      <c r="L72" s="7">
        <v>231.62202737628104</v>
      </c>
      <c r="M72" s="8">
        <v>75</v>
      </c>
      <c r="O72" s="15">
        <v>69</v>
      </c>
      <c r="P72" s="10">
        <v>216.9507157117277</v>
      </c>
      <c r="Q72" s="11">
        <v>109.40016490013227</v>
      </c>
      <c r="R72" s="13">
        <v>87.33559124230948</v>
      </c>
      <c r="S72" s="14">
        <v>59.45539408872211</v>
      </c>
      <c r="T72" s="204">
        <f t="shared" si="13"/>
        <v>47.135994291985675</v>
      </c>
      <c r="U72" s="204">
        <f t="shared" si="9"/>
        <v>382.7442736509236</v>
      </c>
      <c r="V72" s="204">
        <f t="shared" si="10"/>
        <v>360.1189963907705</v>
      </c>
      <c r="W72" s="204">
        <f t="shared" si="11"/>
        <v>255.9484490054822</v>
      </c>
      <c r="X72" s="204">
        <f t="shared" si="12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461.32013674170366</v>
      </c>
      <c r="G73" s="4">
        <v>112.5</v>
      </c>
      <c r="H73" s="13">
        <v>259.32181107230065</v>
      </c>
      <c r="I73" s="5">
        <v>357.65108129388165</v>
      </c>
      <c r="J73" s="6">
        <v>100</v>
      </c>
      <c r="K73" s="14">
        <v>207.45744885784055</v>
      </c>
      <c r="L73" s="7">
        <v>231.6089388284283</v>
      </c>
      <c r="M73" s="8">
        <v>75</v>
      </c>
      <c r="O73" s="15">
        <v>70</v>
      </c>
      <c r="P73" s="10">
        <v>219.77020215799695</v>
      </c>
      <c r="Q73" s="11">
        <v>110.8181618914353</v>
      </c>
      <c r="R73" s="13">
        <v>88.46683754847716</v>
      </c>
      <c r="S73" s="14">
        <v>60.225063002838084</v>
      </c>
      <c r="T73" s="204">
        <f t="shared" si="13"/>
        <v>47.7572396081585</v>
      </c>
      <c r="U73" s="204">
        <f t="shared" si="9"/>
        <v>387.788785618247</v>
      </c>
      <c r="V73" s="204">
        <f t="shared" si="10"/>
        <v>364.8653106063309</v>
      </c>
      <c r="W73" s="204">
        <f t="shared" si="11"/>
        <v>259.32181107230065</v>
      </c>
      <c r="X73" s="204">
        <f t="shared" si="12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461.3006511278737</v>
      </c>
      <c r="G74" s="4">
        <v>112.5</v>
      </c>
      <c r="H74" s="13">
        <v>262.6908385923348</v>
      </c>
      <c r="I74" s="5">
        <v>357.6321577969178</v>
      </c>
      <c r="J74" s="6">
        <v>100</v>
      </c>
      <c r="K74" s="14">
        <v>210.15267087386786</v>
      </c>
      <c r="L74" s="7">
        <v>231.59453791086017</v>
      </c>
      <c r="M74" s="8">
        <v>75</v>
      </c>
      <c r="O74" s="15">
        <v>71</v>
      </c>
      <c r="P74" s="10">
        <v>222.5896330044165</v>
      </c>
      <c r="Q74" s="11">
        <v>112.23565186032468</v>
      </c>
      <c r="R74" s="13">
        <v>89.59758248691169</v>
      </c>
      <c r="S74" s="14">
        <v>60.994333491417976</v>
      </c>
      <c r="T74" s="204">
        <f t="shared" si="13"/>
        <v>48.37768666525503</v>
      </c>
      <c r="U74" s="204">
        <f t="shared" si="9"/>
        <v>392.8268157218708</v>
      </c>
      <c r="V74" s="204">
        <f t="shared" si="10"/>
        <v>369.6055261225484</v>
      </c>
      <c r="W74" s="204">
        <f t="shared" si="11"/>
        <v>262.6908385923348</v>
      </c>
      <c r="X74" s="204">
        <f t="shared" si="12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461.279490179919</v>
      </c>
      <c r="G75" s="4">
        <v>125</v>
      </c>
      <c r="H75" s="13">
        <v>266.0555980723035</v>
      </c>
      <c r="I75" s="5">
        <v>357.6116073218207</v>
      </c>
      <c r="J75" s="6">
        <v>100</v>
      </c>
      <c r="K75" s="14">
        <v>212.84447845784283</v>
      </c>
      <c r="L75" s="7">
        <v>231.57889886859306</v>
      </c>
      <c r="M75" s="8">
        <v>75</v>
      </c>
      <c r="O75" s="15">
        <v>72</v>
      </c>
      <c r="P75" s="10">
        <v>225.40901129846233</v>
      </c>
      <c r="Q75" s="11">
        <v>113.65264371324555</v>
      </c>
      <c r="R75" s="13">
        <v>90.72783465412024</v>
      </c>
      <c r="S75" s="14">
        <v>61.76321228539646</v>
      </c>
      <c r="T75" s="204">
        <f t="shared" si="13"/>
        <v>48.997347711289784</v>
      </c>
      <c r="U75" s="204">
        <f t="shared" si="9"/>
        <v>397.858463415673</v>
      </c>
      <c r="V75" s="204">
        <f t="shared" si="10"/>
        <v>374.33973651425396</v>
      </c>
      <c r="W75" s="204">
        <f t="shared" si="11"/>
        <v>266.0555980723035</v>
      </c>
      <c r="X75" s="204">
        <f t="shared" si="12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461.2567484534212</v>
      </c>
      <c r="G76" s="4">
        <v>125</v>
      </c>
      <c r="H76" s="13">
        <v>269.41615408940385</v>
      </c>
      <c r="I76" s="5">
        <v>357.5895217026514</v>
      </c>
      <c r="J76" s="6">
        <v>100</v>
      </c>
      <c r="K76" s="14">
        <v>215.5329232715231</v>
      </c>
      <c r="L76" s="7">
        <v>231.5620915921051</v>
      </c>
      <c r="M76" s="8">
        <v>75</v>
      </c>
      <c r="O76" s="15">
        <v>73</v>
      </c>
      <c r="P76" s="10">
        <v>228.2283398818875</v>
      </c>
      <c r="Q76" s="11">
        <v>115.0691460478691</v>
      </c>
      <c r="R76" s="13">
        <v>91.85760235875877</v>
      </c>
      <c r="S76" s="14">
        <v>62.53170589530145</v>
      </c>
      <c r="T76" s="204">
        <f t="shared" si="13"/>
        <v>49.61623463893257</v>
      </c>
      <c r="U76" s="204">
        <f t="shared" si="9"/>
        <v>402.8838252681324</v>
      </c>
      <c r="V76" s="204">
        <f t="shared" si="10"/>
        <v>379.0680326414448</v>
      </c>
      <c r="W76" s="204">
        <f t="shared" si="11"/>
        <v>269.41615408940385</v>
      </c>
      <c r="X76" s="204">
        <f t="shared" si="12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461.23251500699195</v>
      </c>
      <c r="G77" s="4">
        <v>125</v>
      </c>
      <c r="H77" s="13">
        <v>272.772569372945</v>
      </c>
      <c r="I77" s="5">
        <v>357.5659874350536</v>
      </c>
      <c r="J77" s="6">
        <v>100</v>
      </c>
      <c r="K77" s="14">
        <v>218.218055498356</v>
      </c>
      <c r="L77" s="7">
        <v>231.5441819092879</v>
      </c>
      <c r="M77" s="8">
        <v>75</v>
      </c>
      <c r="O77" s="15">
        <v>74</v>
      </c>
      <c r="P77" s="10">
        <v>231.04762140715914</v>
      </c>
      <c r="Q77" s="11">
        <v>116.48516716932745</v>
      </c>
      <c r="R77" s="13">
        <v>92.98689363619509</v>
      </c>
      <c r="S77" s="14">
        <v>63.299820622115575</v>
      </c>
      <c r="T77" s="204">
        <f t="shared" si="13"/>
        <v>50.234359000542355</v>
      </c>
      <c r="U77" s="204">
        <f t="shared" si="9"/>
        <v>407.90299508440387</v>
      </c>
      <c r="V77" s="204">
        <f t="shared" si="10"/>
        <v>383.7905027641436</v>
      </c>
      <c r="W77" s="204">
        <f t="shared" si="11"/>
        <v>272.772569372945</v>
      </c>
      <c r="X77" s="204">
        <f t="shared" si="12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461.20687376714824</v>
      </c>
      <c r="G78" s="4">
        <v>125</v>
      </c>
      <c r="H78" s="13">
        <v>276.1249048814718</v>
      </c>
      <c r="I78" s="5">
        <v>357.5410860305577</v>
      </c>
      <c r="J78" s="6">
        <v>100</v>
      </c>
      <c r="K78" s="14">
        <v>220.8999239051775</v>
      </c>
      <c r="L78" s="7">
        <v>231.52523185504003</v>
      </c>
      <c r="M78" s="8">
        <v>75</v>
      </c>
      <c r="O78" s="15">
        <v>75</v>
      </c>
      <c r="P78" s="10">
        <v>233.8668583523635</v>
      </c>
      <c r="Q78" s="11">
        <v>117.90071510530018</v>
      </c>
      <c r="R78" s="13">
        <v>94.11571626207954</v>
      </c>
      <c r="S78" s="14">
        <v>64.06756256741728</v>
      </c>
      <c r="T78" s="204">
        <f t="shared" si="13"/>
        <v>50.851732022370506</v>
      </c>
      <c r="U78" s="204">
        <f t="shared" si="9"/>
        <v>412.9160640216485</v>
      </c>
      <c r="V78" s="204">
        <f t="shared" si="10"/>
        <v>388.5072326509106</v>
      </c>
      <c r="W78" s="204">
        <f t="shared" si="11"/>
        <v>276.1249048814718</v>
      </c>
      <c r="X78" s="204">
        <f t="shared" si="12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461.1799038655186</v>
      </c>
      <c r="G79" s="4">
        <v>125</v>
      </c>
      <c r="H79" s="13">
        <v>279.47321987568756</v>
      </c>
      <c r="I79" s="5">
        <v>357.51489434401987</v>
      </c>
      <c r="J79" s="6">
        <v>100</v>
      </c>
      <c r="K79" s="14">
        <v>223.57857590055008</v>
      </c>
      <c r="L79" s="7">
        <v>231.50529992042644</v>
      </c>
      <c r="M79" s="8">
        <v>75</v>
      </c>
      <c r="O79" s="15">
        <v>76</v>
      </c>
      <c r="P79" s="10">
        <v>236.68605303476986</v>
      </c>
      <c r="Q79" s="11">
        <v>119.31579762006504</v>
      </c>
      <c r="R79" s="13">
        <v>95.2440777650163</v>
      </c>
      <c r="S79" s="14">
        <v>64.83493764286695</v>
      </c>
      <c r="T79" s="204">
        <f t="shared" si="13"/>
        <v>51.468364617990346</v>
      </c>
      <c r="U79" s="204">
        <f t="shared" si="9"/>
        <v>417.92312069808156</v>
      </c>
      <c r="V79" s="204">
        <f t="shared" si="10"/>
        <v>393.2183056814462</v>
      </c>
      <c r="W79" s="204">
        <f t="shared" si="11"/>
        <v>279.47321987568756</v>
      </c>
      <c r="X79" s="204">
        <f t="shared" si="12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461.1516799507542</v>
      </c>
      <c r="G80" s="4">
        <v>125</v>
      </c>
      <c r="H80" s="13">
        <v>282.81757198744856</v>
      </c>
      <c r="I80" s="5">
        <v>357.4874848765017</v>
      </c>
      <c r="J80" s="6">
        <v>100</v>
      </c>
      <c r="K80" s="14">
        <v>226.25405758995888</v>
      </c>
      <c r="L80" s="7">
        <v>231.48444128315066</v>
      </c>
      <c r="M80" s="8">
        <v>75</v>
      </c>
      <c r="O80" s="15">
        <v>77</v>
      </c>
      <c r="P80" s="10">
        <v>239.50520762318584</v>
      </c>
      <c r="Q80" s="11">
        <v>120.7304222275997</v>
      </c>
      <c r="R80" s="13">
        <v>96.37198543840843</v>
      </c>
      <c r="S80" s="14">
        <v>65.60195157908979</v>
      </c>
      <c r="T80" s="204">
        <f t="shared" si="13"/>
        <v>52.08426740100342</v>
      </c>
      <c r="U80" s="204">
        <f t="shared" si="9"/>
        <v>422.92425129614776</v>
      </c>
      <c r="V80" s="204">
        <f t="shared" si="10"/>
        <v>397.92380294366615</v>
      </c>
      <c r="W80" s="204">
        <f t="shared" si="11"/>
        <v>282.81757198744856</v>
      </c>
      <c r="X80" s="204">
        <f t="shared" si="12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461.12227247728026</v>
      </c>
      <c r="G81" s="4">
        <v>125</v>
      </c>
      <c r="H81" s="13">
        <v>286.1580172851005</v>
      </c>
      <c r="I81" s="5">
        <v>357.45892605566775</v>
      </c>
      <c r="J81" s="6">
        <v>100</v>
      </c>
      <c r="K81" s="14">
        <v>228.92641382808046</v>
      </c>
      <c r="L81" s="7">
        <v>231.4627080209234</v>
      </c>
      <c r="M81" s="8">
        <v>75</v>
      </c>
      <c r="O81" s="15">
        <v>78</v>
      </c>
      <c r="P81" s="10">
        <v>242.32432414920592</v>
      </c>
      <c r="Q81" s="11">
        <v>122.14459620380563</v>
      </c>
      <c r="R81" s="13">
        <v>97.49944635153783</v>
      </c>
      <c r="S81" s="14">
        <v>66.36860993399999</v>
      </c>
      <c r="T81" s="204">
        <f t="shared" si="13"/>
        <v>52.699450697071924</v>
      </c>
      <c r="U81" s="204">
        <f t="shared" si="9"/>
        <v>427.91953966022396</v>
      </c>
      <c r="V81" s="204">
        <f t="shared" si="10"/>
        <v>402.62380332562947</v>
      </c>
      <c r="W81" s="204">
        <f t="shared" si="11"/>
        <v>286.1580172851005</v>
      </c>
      <c r="X81" s="204">
        <f t="shared" si="12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461.0917479728323</v>
      </c>
      <c r="G82" s="4">
        <v>125</v>
      </c>
      <c r="H82" s="13">
        <v>289.4946103353891</v>
      </c>
      <c r="I82" s="5">
        <v>357.42928249558497</v>
      </c>
      <c r="J82" s="6">
        <v>100</v>
      </c>
      <c r="K82" s="14">
        <v>231.5956882683113</v>
      </c>
      <c r="L82" s="7">
        <v>231.440149309157</v>
      </c>
      <c r="M82" s="8">
        <v>75</v>
      </c>
      <c r="O82" s="15">
        <v>79</v>
      </c>
      <c r="P82" s="10">
        <v>245.14340451749274</v>
      </c>
      <c r="Q82" s="11">
        <v>123.55832659793853</v>
      </c>
      <c r="R82" s="13">
        <v>98.62646735994997</v>
      </c>
      <c r="S82" s="14">
        <v>67.13491810061504</v>
      </c>
      <c r="T82" s="204">
        <f t="shared" si="13"/>
        <v>53.31392455532028</v>
      </c>
      <c r="U82" s="204">
        <f t="shared" si="9"/>
        <v>432.90906738920063</v>
      </c>
      <c r="V82" s="204">
        <f t="shared" si="10"/>
        <v>407.3183836026469</v>
      </c>
      <c r="W82" s="204">
        <f t="shared" si="11"/>
        <v>289.4946103353891</v>
      </c>
      <c r="X82" s="204">
        <f t="shared" si="12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461.0601692865305</v>
      </c>
      <c r="G83" s="4">
        <v>125</v>
      </c>
      <c r="H83" s="13">
        <v>292.82740426216446</v>
      </c>
      <c r="I83" s="5">
        <v>357.39861523762244</v>
      </c>
      <c r="J83" s="6">
        <v>100</v>
      </c>
      <c r="K83" s="14">
        <v>234.26192340973162</v>
      </c>
      <c r="L83" s="7">
        <v>231.4168116042821</v>
      </c>
      <c r="M83" s="8">
        <v>75</v>
      </c>
      <c r="O83" s="15">
        <v>80</v>
      </c>
      <c r="P83" s="10">
        <v>247.96245051516544</v>
      </c>
      <c r="Q83" s="11">
        <v>124.97162024330125</v>
      </c>
      <c r="R83" s="13">
        <v>99.75305511519205</v>
      </c>
      <c r="S83" s="14">
        <v>67.9008813143955</v>
      </c>
      <c r="T83" s="204">
        <f t="shared" si="13"/>
        <v>53.92769875914632</v>
      </c>
      <c r="U83" s="204">
        <f t="shared" si="9"/>
        <v>437.89291392426804</v>
      </c>
      <c r="V83" s="204">
        <f t="shared" si="10"/>
        <v>412.00761851987784</v>
      </c>
      <c r="W83" s="204">
        <f t="shared" si="11"/>
        <v>292.82740426216446</v>
      </c>
      <c r="X83" s="204">
        <f t="shared" si="12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461.0275958190853</v>
      </c>
      <c r="G84" s="4">
        <v>150</v>
      </c>
      <c r="H84" s="13">
        <v>296.1564508020893</v>
      </c>
      <c r="I84" s="5">
        <v>357.3669819740082</v>
      </c>
      <c r="J84" s="6">
        <v>112.5</v>
      </c>
      <c r="K84" s="14">
        <v>236.92516064167148</v>
      </c>
      <c r="L84" s="7">
        <v>231.39273881386904</v>
      </c>
      <c r="M84" s="8">
        <v>75</v>
      </c>
      <c r="O84" s="15">
        <v>81</v>
      </c>
      <c r="P84" s="10">
        <v>250.78146382039037</v>
      </c>
      <c r="Q84" s="11">
        <v>126.38448376726129</v>
      </c>
      <c r="R84" s="13">
        <v>100.87921607395674</v>
      </c>
      <c r="S84" s="14">
        <v>68.66650466014785</v>
      </c>
      <c r="T84" s="204">
        <f t="shared" si="13"/>
        <v>54.54078283648054</v>
      </c>
      <c r="U84" s="204">
        <f t="shared" si="9"/>
        <v>442.8711566322219</v>
      </c>
      <c r="V84" s="204">
        <f t="shared" si="10"/>
        <v>416.6915808707113</v>
      </c>
      <c r="W84" s="204">
        <f t="shared" si="11"/>
        <v>296.1564508020893</v>
      </c>
      <c r="X84" s="204">
        <f t="shared" si="12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460.9940837365995</v>
      </c>
      <c r="G85" s="4">
        <v>150</v>
      </c>
      <c r="H85" s="13">
        <v>299.4818003575317</v>
      </c>
      <c r="I85" s="5">
        <v>357.3344372554514</v>
      </c>
      <c r="J85" s="6">
        <v>112.5</v>
      </c>
      <c r="K85" s="14">
        <v>239.5854402860254</v>
      </c>
      <c r="L85" s="7">
        <v>231.3679724546249</v>
      </c>
      <c r="M85" s="8">
        <v>75</v>
      </c>
      <c r="O85" s="15">
        <v>82</v>
      </c>
      <c r="P85" s="10">
        <v>253.60044601024313</v>
      </c>
      <c r="Q85" s="11">
        <v>127.79692360064334</v>
      </c>
      <c r="R85" s="13">
        <v>102.00495650667517</v>
      </c>
      <c r="S85" s="14">
        <v>69.43179307852137</v>
      </c>
      <c r="T85" s="204">
        <f t="shared" si="13"/>
        <v>55.153186069527024</v>
      </c>
      <c r="U85" s="204">
        <f t="shared" si="9"/>
        <v>447.8438708845594</v>
      </c>
      <c r="V85" s="204">
        <f t="shared" si="10"/>
        <v>421.37034157118643</v>
      </c>
      <c r="W85" s="204">
        <f t="shared" si="11"/>
        <v>299.4818003575317</v>
      </c>
      <c r="X85" s="204">
        <f t="shared" si="12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460.9596861692613</v>
      </c>
      <c r="G86" s="4">
        <v>150</v>
      </c>
      <c r="H86" s="13">
        <v>302.8035020468248</v>
      </c>
      <c r="I86" s="5">
        <v>357.3010326841022</v>
      </c>
      <c r="J86" s="6">
        <v>112.5</v>
      </c>
      <c r="K86" s="14">
        <v>242.24280163745985</v>
      </c>
      <c r="L86" s="7">
        <v>231.3425517992322</v>
      </c>
      <c r="M86" s="8">
        <v>75</v>
      </c>
      <c r="O86" s="15">
        <v>83</v>
      </c>
      <c r="P86" s="10">
        <v>256.41939856793203</v>
      </c>
      <c r="Q86" s="11">
        <v>129.20894598655318</v>
      </c>
      <c r="R86" s="13">
        <v>103.13028250560615</v>
      </c>
      <c r="S86" s="14">
        <v>70.19675137213295</v>
      </c>
      <c r="T86" s="204">
        <f t="shared" si="13"/>
        <v>55.7649175040193</v>
      </c>
      <c r="U86" s="204">
        <f t="shared" si="9"/>
        <v>452.81113013263666</v>
      </c>
      <c r="V86" s="204">
        <f t="shared" si="10"/>
        <v>426.04396973070743</v>
      </c>
      <c r="W86" s="204">
        <f t="shared" si="11"/>
        <v>302.8035020468248</v>
      </c>
      <c r="X86" s="204">
        <f t="shared" si="12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460.9244533961575</v>
      </c>
      <c r="G87" s="4">
        <v>150</v>
      </c>
      <c r="H87" s="13">
        <v>306.12160375204604</v>
      </c>
      <c r="I87" s="5">
        <v>357.26681709302784</v>
      </c>
      <c r="J87" s="6">
        <v>112.5</v>
      </c>
      <c r="K87" s="14">
        <v>244.89728300163685</v>
      </c>
      <c r="L87" s="7">
        <v>231.31651401293087</v>
      </c>
      <c r="M87" s="8">
        <v>75</v>
      </c>
      <c r="O87" s="15">
        <v>84</v>
      </c>
      <c r="P87" s="10">
        <v>259.238322889408</v>
      </c>
      <c r="Q87" s="11">
        <v>130.62055698866246</v>
      </c>
      <c r="R87" s="13">
        <v>104.25519999244865</v>
      </c>
      <c r="S87" s="14">
        <v>70.96138421133966</v>
      </c>
      <c r="T87" s="204">
        <f t="shared" si="13"/>
        <v>56.37598595801953</v>
      </c>
      <c r="U87" s="204">
        <f t="shared" si="9"/>
        <v>457.7730059791185</v>
      </c>
      <c r="V87" s="204">
        <f t="shared" si="10"/>
        <v>430.7125327192692</v>
      </c>
      <c r="W87" s="204">
        <f t="shared" si="11"/>
        <v>306.12160375204604</v>
      </c>
      <c r="X87" s="204">
        <f t="shared" si="12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460.8884330172802</v>
      </c>
      <c r="G88" s="4">
        <v>150</v>
      </c>
      <c r="H88" s="13">
        <v>309.43615216447694</v>
      </c>
      <c r="I88" s="5">
        <v>357.2318367132563</v>
      </c>
      <c r="J88" s="6">
        <v>112.5</v>
      </c>
      <c r="K88" s="14">
        <v>247.54892173158157</v>
      </c>
      <c r="L88" s="7">
        <v>231.28989428063855</v>
      </c>
      <c r="M88" s="8">
        <v>75</v>
      </c>
      <c r="O88" s="15">
        <v>85</v>
      </c>
      <c r="P88" s="10">
        <v>262.05722028945047</v>
      </c>
      <c r="Q88" s="11">
        <v>132.0317624990077</v>
      </c>
      <c r="R88" s="13">
        <v>105.37971472552204</v>
      </c>
      <c r="S88" s="14">
        <v>71.72569613969098</v>
      </c>
      <c r="T88" s="204">
        <f t="shared" si="13"/>
        <v>56.98640003029041</v>
      </c>
      <c r="U88" s="204">
        <f t="shared" si="9"/>
        <v>462.7295682459581</v>
      </c>
      <c r="V88" s="204">
        <f t="shared" si="10"/>
        <v>435.3760962314187</v>
      </c>
      <c r="W88" s="204">
        <f t="shared" si="11"/>
        <v>309.43615216447694</v>
      </c>
      <c r="X88" s="204">
        <f t="shared" si="12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460.85167011373267</v>
      </c>
      <c r="G89" s="4">
        <v>150</v>
      </c>
      <c r="H89" s="13">
        <v>312.7471928278694</v>
      </c>
      <c r="I89" s="5">
        <v>357.1961353293634</v>
      </c>
      <c r="J89" s="6">
        <v>112.5</v>
      </c>
      <c r="K89" s="14">
        <v>250.19775426229555</v>
      </c>
      <c r="L89" s="7">
        <v>231.26272592535375</v>
      </c>
      <c r="M89" s="8">
        <v>75</v>
      </c>
      <c r="O89" s="15">
        <v>86</v>
      </c>
      <c r="P89" s="10">
        <v>264.87609200726484</v>
      </c>
      <c r="Q89" s="11">
        <v>133.4425682453348</v>
      </c>
      <c r="R89" s="13">
        <v>106.50383230654106</v>
      </c>
      <c r="S89" s="14">
        <v>72.48969157907999</v>
      </c>
      <c r="T89" s="204">
        <f t="shared" si="13"/>
        <v>57.59616810826324</v>
      </c>
      <c r="U89" s="204">
        <f t="shared" si="9"/>
        <v>467.68088503909746</v>
      </c>
      <c r="V89" s="204">
        <f t="shared" si="10"/>
        <v>440.03472434713115</v>
      </c>
      <c r="W89" s="204">
        <f t="shared" si="11"/>
        <v>312.7471928278694</v>
      </c>
      <c r="X89" s="204">
        <f t="shared" si="12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460.81420739705413</v>
      </c>
      <c r="G90" s="4">
        <v>150</v>
      </c>
      <c r="H90" s="13">
        <v>316.0547701796619</v>
      </c>
      <c r="I90" s="5">
        <v>357.1597544244898</v>
      </c>
      <c r="J90" s="6">
        <v>112.5</v>
      </c>
      <c r="K90" s="14">
        <v>252.84381614372953</v>
      </c>
      <c r="L90" s="7">
        <v>231.2350405185168</v>
      </c>
      <c r="M90" s="8">
        <v>75</v>
      </c>
      <c r="O90" s="15">
        <v>87</v>
      </c>
      <c r="P90" s="10">
        <v>267.6949392116214</v>
      </c>
      <c r="Q90" s="11">
        <v>134.85297979801592</v>
      </c>
      <c r="R90" s="13">
        <v>107.62755818701027</v>
      </c>
      <c r="S90" s="14">
        <v>73.25337483461237</v>
      </c>
      <c r="T90" s="204">
        <f t="shared" si="13"/>
        <v>58.20529837562834</v>
      </c>
      <c r="U90" s="204">
        <f t="shared" si="9"/>
        <v>472.62702281010206</v>
      </c>
      <c r="V90" s="204">
        <f t="shared" si="10"/>
        <v>444.68847958980047</v>
      </c>
      <c r="W90" s="204">
        <f t="shared" si="11"/>
        <v>316.0547701796619</v>
      </c>
      <c r="X90" s="204">
        <f t="shared" si="12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460.77608534848076</v>
      </c>
      <c r="G91" s="4">
        <v>150</v>
      </c>
      <c r="H91" s="13">
        <v>319.35892759025404</v>
      </c>
      <c r="I91" s="5">
        <v>357.1227333155888</v>
      </c>
      <c r="J91" s="6">
        <v>112.5</v>
      </c>
      <c r="K91" s="14">
        <v>255.48714207220326</v>
      </c>
      <c r="L91" s="7">
        <v>231.2068679829349</v>
      </c>
      <c r="M91" s="8">
        <v>75</v>
      </c>
      <c r="O91" s="15">
        <v>88</v>
      </c>
      <c r="P91" s="10">
        <v>270.51376300561725</v>
      </c>
      <c r="Q91" s="11">
        <v>136.26300257658585</v>
      </c>
      <c r="R91" s="13">
        <v>108.75089767427595</v>
      </c>
      <c r="S91" s="14">
        <v>74.01675009921931</v>
      </c>
      <c r="T91" s="204">
        <f t="shared" si="13"/>
        <v>58.813798819567964</v>
      </c>
      <c r="U91" s="204">
        <f t="shared" si="9"/>
        <v>477.5680464148918</v>
      </c>
      <c r="V91" s="204">
        <f t="shared" si="10"/>
        <v>449.33742298149923</v>
      </c>
      <c r="W91" s="204">
        <f t="shared" si="11"/>
        <v>319.35892759025404</v>
      </c>
      <c r="X91" s="204">
        <f t="shared" si="12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460.7373423489243</v>
      </c>
      <c r="G92" s="4">
        <v>150</v>
      </c>
      <c r="H92" s="13">
        <v>322.6597074004589</v>
      </c>
      <c r="I92" s="5">
        <v>357.0851092796587</v>
      </c>
      <c r="J92" s="6">
        <v>112.5</v>
      </c>
      <c r="K92" s="14">
        <v>258.12776592036715</v>
      </c>
      <c r="L92" s="7">
        <v>231.17823668885114</v>
      </c>
      <c r="M92" s="8">
        <v>75</v>
      </c>
      <c r="O92" s="15">
        <v>89</v>
      </c>
      <c r="P92" s="10">
        <v>273.3325644310363</v>
      </c>
      <c r="Q92" s="11">
        <v>137.6726418559011</v>
      </c>
      <c r="R92" s="13">
        <v>109.87385593724198</v>
      </c>
      <c r="S92" s="14">
        <v>74.77982145802095</v>
      </c>
      <c r="T92" s="204">
        <f t="shared" si="13"/>
        <v>59.421677237653576</v>
      </c>
      <c r="U92" s="204">
        <f t="shared" si="9"/>
        <v>482.504019169747</v>
      </c>
      <c r="V92" s="204">
        <f t="shared" si="10"/>
        <v>453.9816140956733</v>
      </c>
      <c r="W92" s="204">
        <f t="shared" si="11"/>
        <v>322.6597074004589</v>
      </c>
      <c r="X92" s="204">
        <f t="shared" si="12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460.69801480034926</v>
      </c>
      <c r="G93" s="4">
        <v>150</v>
      </c>
      <c r="H93" s="13">
        <v>325.9571509572348</v>
      </c>
      <c r="I93" s="5">
        <v>357.04691767162535</v>
      </c>
      <c r="J93" s="6">
        <v>112.5</v>
      </c>
      <c r="K93" s="14">
        <v>260.7657207657879</v>
      </c>
      <c r="L93" s="7">
        <v>231.14917354365372</v>
      </c>
      <c r="M93" s="8">
        <v>100</v>
      </c>
      <c r="O93" s="15">
        <v>90</v>
      </c>
      <c r="P93" s="10">
        <v>276.15134447239797</v>
      </c>
      <c r="Q93" s="11">
        <v>139.0819027719709</v>
      </c>
      <c r="R93" s="13">
        <v>110.99643801178877</v>
      </c>
      <c r="S93" s="14">
        <v>75.54259289246718</v>
      </c>
      <c r="T93" s="204">
        <f t="shared" si="13"/>
        <v>60.0289412444263</v>
      </c>
      <c r="U93" s="204">
        <f t="shared" si="9"/>
        <v>487.4350029047415</v>
      </c>
      <c r="V93" s="204">
        <f t="shared" si="10"/>
        <v>458.6211111074169</v>
      </c>
      <c r="W93" s="204">
        <f t="shared" si="11"/>
        <v>325.9571509572348</v>
      </c>
      <c r="X93" s="204">
        <f t="shared" si="12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460.6581372392009</v>
      </c>
      <c r="G94" s="4">
        <v>150</v>
      </c>
      <c r="H94" s="13">
        <v>329.2512986477911</v>
      </c>
      <c r="I94" s="5">
        <v>357.00819203449953</v>
      </c>
      <c r="J94" s="6">
        <v>112.5</v>
      </c>
      <c r="K94" s="14">
        <v>263.4010389182329</v>
      </c>
      <c r="L94" s="7">
        <v>231.1197040757143</v>
      </c>
      <c r="M94" s="8">
        <v>100</v>
      </c>
      <c r="O94" s="15">
        <v>91</v>
      </c>
      <c r="P94" s="10">
        <v>278.9701040606886</v>
      </c>
      <c r="Q94" s="11">
        <v>140.49079032746812</v>
      </c>
      <c r="R94" s="13">
        <v>112.11864880590497</v>
      </c>
      <c r="S94" s="14">
        <v>76.30506828426402</v>
      </c>
      <c r="T94" s="204">
        <f t="shared" si="13"/>
        <v>60.63559827767792</v>
      </c>
      <c r="U94" s="204">
        <f t="shared" si="9"/>
        <v>492.3610580147447</v>
      </c>
      <c r="V94" s="204">
        <f t="shared" si="10"/>
        <v>463.2559708414593</v>
      </c>
      <c r="W94" s="204">
        <f t="shared" si="11"/>
        <v>329.2512986477911</v>
      </c>
      <c r="X94" s="204">
        <f t="shared" si="12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460.61774244246163</v>
      </c>
      <c r="G95" s="4">
        <v>150</v>
      </c>
      <c r="H95" s="13">
        <v>332.54218993216773</v>
      </c>
      <c r="I95" s="5">
        <v>356.9689642023831</v>
      </c>
      <c r="J95" s="6">
        <v>125</v>
      </c>
      <c r="K95" s="14">
        <v>266.03375194573425</v>
      </c>
      <c r="L95" s="7">
        <v>231.08985251277616</v>
      </c>
      <c r="M95" s="8">
        <v>100</v>
      </c>
      <c r="O95" s="15">
        <v>92</v>
      </c>
      <c r="P95" s="10">
        <v>281.7888440768165</v>
      </c>
      <c r="Q95" s="11">
        <v>141.89930939694872</v>
      </c>
      <c r="R95" s="13">
        <v>113.24049310455538</v>
      </c>
      <c r="S95" s="14">
        <v>77.0672514191019</v>
      </c>
      <c r="T95" s="204">
        <f t="shared" si="13"/>
        <v>61.241655604450784</v>
      </c>
      <c r="U95" s="204">
        <f t="shared" si="9"/>
        <v>497.2822435081403</v>
      </c>
      <c r="V95" s="204">
        <f t="shared" si="10"/>
        <v>467.886248818004</v>
      </c>
      <c r="W95" s="204">
        <f t="shared" si="11"/>
        <v>332.54218993216773</v>
      </c>
      <c r="X95" s="204">
        <f t="shared" si="12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460.5768615268818</v>
      </c>
      <c r="G96" s="4">
        <v>150</v>
      </c>
      <c r="H96" s="13">
        <v>335.82986337435926</v>
      </c>
      <c r="I96" s="5">
        <v>356.9292643968431</v>
      </c>
      <c r="J96" s="6">
        <v>125</v>
      </c>
      <c r="K96" s="14">
        <v>268.66389069948747</v>
      </c>
      <c r="L96" s="7">
        <v>231.05964185530215</v>
      </c>
      <c r="M96" s="8">
        <v>100</v>
      </c>
      <c r="O96" s="15">
        <v>93</v>
      </c>
      <c r="P96" s="10">
        <v>284.6075653548061</v>
      </c>
      <c r="Q96" s="11">
        <v>143.30746473179497</v>
      </c>
      <c r="R96" s="13">
        <v>114.36197557429932</v>
      </c>
      <c r="S96" s="14">
        <v>77.82914599019725</v>
      </c>
      <c r="T96" s="204">
        <f t="shared" si="13"/>
        <v>61.84712032676967</v>
      </c>
      <c r="U96" s="204">
        <f t="shared" si="9"/>
        <v>502.1986170533697</v>
      </c>
      <c r="V96" s="204">
        <f t="shared" si="10"/>
        <v>472.51199929652023</v>
      </c>
      <c r="W96" s="204">
        <f t="shared" si="11"/>
        <v>335.82986337435926</v>
      </c>
      <c r="X96" s="204">
        <f t="shared" si="12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460.5355240418773</v>
      </c>
      <c r="G97" s="4">
        <v>150</v>
      </c>
      <c r="H97" s="13">
        <v>339.11435667207735</v>
      </c>
      <c r="I97" s="5">
        <v>356.889121317134</v>
      </c>
      <c r="J97" s="6">
        <v>125</v>
      </c>
      <c r="K97" s="14">
        <v>271.2914853376619</v>
      </c>
      <c r="L97" s="7">
        <v>231.02909394513844</v>
      </c>
      <c r="M97" s="8">
        <v>100</v>
      </c>
      <c r="O97" s="15">
        <v>94</v>
      </c>
      <c r="P97" s="10">
        <v>287.42626868475537</v>
      </c>
      <c r="Q97" s="11">
        <v>144.71526096490143</v>
      </c>
      <c r="R97" s="13">
        <v>115.48310076767595</v>
      </c>
      <c r="S97" s="14">
        <v>78.59075560165877</v>
      </c>
      <c r="T97" s="204">
        <f t="shared" si="13"/>
        <v>62.4519993871229</v>
      </c>
      <c r="U97" s="204">
        <f t="shared" si="9"/>
        <v>507.11023502343795</v>
      </c>
      <c r="V97" s="204">
        <f t="shared" si="10"/>
        <v>477.13327531761894</v>
      </c>
      <c r="W97" s="204">
        <f t="shared" si="11"/>
        <v>339.11435667207735</v>
      </c>
      <c r="X97" s="204">
        <f t="shared" si="12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460.4937580565436</v>
      </c>
      <c r="G98" s="4">
        <v>150</v>
      </c>
      <c r="H98" s="13">
        <v>342.39570668521515</v>
      </c>
      <c r="I98" s="5">
        <v>356.8485622247098</v>
      </c>
      <c r="J98" s="6">
        <v>125</v>
      </c>
      <c r="K98" s="14">
        <v>273.9165653481721</v>
      </c>
      <c r="L98" s="7">
        <v>230.99822952983263</v>
      </c>
      <c r="M98" s="8">
        <v>100</v>
      </c>
      <c r="O98" s="15">
        <v>95</v>
      </c>
      <c r="P98" s="10">
        <v>290.2449548155864</v>
      </c>
      <c r="Q98" s="11">
        <v>146.12270261512583</v>
      </c>
      <c r="R98" s="13">
        <v>116.60387312737517</v>
      </c>
      <c r="S98" s="14">
        <v>79.35208377169201</v>
      </c>
      <c r="T98" s="204">
        <f t="shared" si="13"/>
        <v>63.05629957370445</v>
      </c>
      <c r="U98" s="204">
        <f t="shared" si="9"/>
        <v>512.0171525384801</v>
      </c>
      <c r="V98" s="204">
        <f t="shared" si="10"/>
        <v>481.750128743102</v>
      </c>
      <c r="W98" s="204">
        <f t="shared" si="11"/>
        <v>342.39570668521515</v>
      </c>
      <c r="X98" s="204">
        <f t="shared" si="12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460.4515902412133</v>
      </c>
      <c r="G99" s="4">
        <v>150</v>
      </c>
      <c r="H99" s="13">
        <v>345.67394946308673</v>
      </c>
      <c r="I99" s="5">
        <v>356.80761302243593</v>
      </c>
      <c r="J99" s="6">
        <v>125</v>
      </c>
      <c r="K99" s="14">
        <v>276.5391595704694</v>
      </c>
      <c r="L99" s="7">
        <v>230.96706832291855</v>
      </c>
      <c r="M99" s="8">
        <v>100</v>
      </c>
      <c r="O99" s="15">
        <v>96</v>
      </c>
      <c r="P99" s="10">
        <v>293.0636244575855</v>
      </c>
      <c r="Q99" s="11">
        <v>147.5297940915096</v>
      </c>
      <c r="R99" s="13">
        <v>117.72429699020012</v>
      </c>
      <c r="S99" s="14">
        <v>80.11313393564753</v>
      </c>
      <c r="T99" s="204">
        <f t="shared" si="13"/>
        <v>63.66002752543034</v>
      </c>
      <c r="U99" s="204">
        <f t="shared" si="9"/>
        <v>516.9194235064942</v>
      </c>
      <c r="V99" s="204">
        <f t="shared" si="10"/>
        <v>486.3626102942878</v>
      </c>
      <c r="W99" s="204">
        <f t="shared" si="11"/>
        <v>345.67394946308673</v>
      </c>
      <c r="X99" s="204">
        <f t="shared" si="12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460.40904594393294</v>
      </c>
      <c r="G100" s="4">
        <v>150</v>
      </c>
      <c r="H100" s="13">
        <v>348.9491202705087</v>
      </c>
      <c r="I100" s="5">
        <v>356.7662983288663</v>
      </c>
      <c r="J100" s="6">
        <v>125</v>
      </c>
      <c r="K100" s="14">
        <v>279.159296216407</v>
      </c>
      <c r="L100" s="7">
        <v>230.93562906044775</v>
      </c>
      <c r="M100" s="8">
        <v>100</v>
      </c>
      <c r="O100" s="15">
        <v>97</v>
      </c>
      <c r="P100" s="10">
        <v>295.8822782847792</v>
      </c>
      <c r="Q100" s="11">
        <v>148.93653969729615</v>
      </c>
      <c r="R100" s="13">
        <v>118.84437659084357</v>
      </c>
      <c r="S100" s="14">
        <v>80.87390944892803</v>
      </c>
      <c r="T100" s="204">
        <f t="shared" si="13"/>
        <v>64.26318973674194</v>
      </c>
      <c r="U100" s="204">
        <f aca="true" t="shared" si="14" ref="U100:U108">+T100*$U$3</f>
        <v>521.8171006623445</v>
      </c>
      <c r="V100" s="204">
        <f aca="true" t="shared" si="15" ref="V100:V108">+T100*$V$3</f>
        <v>490.9707695887084</v>
      </c>
      <c r="W100" s="204">
        <f aca="true" t="shared" si="16" ref="W100:W108">+T100*$W$3</f>
        <v>348.9491202705087</v>
      </c>
      <c r="X100" s="204">
        <f aca="true" t="shared" si="17" ref="X100:X108">+T100*$X$3</f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460.36614926223007</v>
      </c>
      <c r="G101" s="4" t="s">
        <v>21</v>
      </c>
      <c r="H101" s="13">
        <v>352.2212536127804</v>
      </c>
      <c r="I101" s="5">
        <v>356.7246415479427</v>
      </c>
      <c r="J101" s="6">
        <v>125</v>
      </c>
      <c r="K101" s="14">
        <v>281.77700289022437</v>
      </c>
      <c r="L101" s="7">
        <v>230.90392955403524</v>
      </c>
      <c r="M101" s="8">
        <v>100</v>
      </c>
      <c r="O101" s="15">
        <v>98</v>
      </c>
      <c r="P101" s="10">
        <v>298.7009169371208</v>
      </c>
      <c r="Q101" s="11">
        <v>150.34294363374278</v>
      </c>
      <c r="R101" s="13">
        <v>119.96411606547751</v>
      </c>
      <c r="S101" s="14">
        <v>81.63441358975496</v>
      </c>
      <c r="T101" s="204">
        <f t="shared" si="13"/>
        <v>64.86579256220634</v>
      </c>
      <c r="U101" s="204">
        <f t="shared" si="14"/>
        <v>526.7102356051154</v>
      </c>
      <c r="V101" s="204">
        <f t="shared" si="15"/>
        <v>495.5746551752564</v>
      </c>
      <c r="W101" s="204">
        <f t="shared" si="16"/>
        <v>352.2212536127804</v>
      </c>
      <c r="X101" s="204">
        <f t="shared" si="17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460.32292311047144</v>
      </c>
      <c r="G102" s="4" t="s">
        <v>21</v>
      </c>
      <c r="H102" s="13">
        <v>355.49038325962164</v>
      </c>
      <c r="I102" s="5">
        <v>356.68266493442655</v>
      </c>
      <c r="J102" s="6">
        <v>125</v>
      </c>
      <c r="K102" s="14">
        <v>284.3923066076973</v>
      </c>
      <c r="L102" s="7">
        <v>230.87198674065576</v>
      </c>
      <c r="M102" s="8">
        <v>100</v>
      </c>
      <c r="O102" s="15">
        <v>99</v>
      </c>
      <c r="P102" s="10">
        <v>301.5195410225409</v>
      </c>
      <c r="Q102" s="11">
        <v>151.74901000375505</v>
      </c>
      <c r="R102" s="13">
        <v>121.08351945517907</v>
      </c>
      <c r="S102" s="14">
        <v>82.39464956181092</v>
      </c>
      <c r="T102" s="204">
        <f t="shared" si="13"/>
        <v>65.4678422209248</v>
      </c>
      <c r="U102" s="204">
        <f t="shared" si="14"/>
        <v>531.5988788339092</v>
      </c>
      <c r="V102" s="204">
        <f t="shared" si="15"/>
        <v>500.1743145678654</v>
      </c>
      <c r="W102" s="204">
        <f t="shared" si="16"/>
        <v>355.49038325962164</v>
      </c>
      <c r="X102" s="204">
        <f t="shared" si="17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460.27938928314825</v>
      </c>
      <c r="G103" s="4" t="s">
        <v>21</v>
      </c>
      <c r="H103" s="13">
        <v>358.75654226812475</v>
      </c>
      <c r="I103" s="5">
        <v>356.6403896553536</v>
      </c>
      <c r="J103" s="6">
        <v>125</v>
      </c>
      <c r="K103" s="14">
        <v>287.00523381449983</v>
      </c>
      <c r="L103" s="7">
        <v>230.83981672941962</v>
      </c>
      <c r="M103" s="8">
        <v>100</v>
      </c>
      <c r="O103" s="15">
        <v>100</v>
      </c>
      <c r="P103" s="10">
        <v>304.33815111884593</v>
      </c>
      <c r="Q103" s="11">
        <v>153.1547428153431</v>
      </c>
      <c r="R103" s="13">
        <v>122.20259070919369</v>
      </c>
      <c r="S103" s="14">
        <v>83.15462049675904</v>
      </c>
      <c r="T103" s="204">
        <f t="shared" si="13"/>
        <v>66.06934480075962</v>
      </c>
      <c r="U103" s="204">
        <f t="shared" si="14"/>
        <v>536.483079782168</v>
      </c>
      <c r="V103" s="204">
        <f t="shared" si="15"/>
        <v>504.7697942778035</v>
      </c>
      <c r="W103" s="204">
        <f t="shared" si="16"/>
        <v>358.75654226812475</v>
      </c>
      <c r="X103" s="204">
        <f t="shared" si="17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457.9896503652572</v>
      </c>
      <c r="G104" s="4" t="s">
        <v>21</v>
      </c>
      <c r="H104" s="13">
        <v>518.8512595213961</v>
      </c>
      <c r="I104" s="5">
        <v>354.41701103415926</v>
      </c>
      <c r="J104" s="6" t="s">
        <v>21</v>
      </c>
      <c r="K104" s="14">
        <v>415.0810076171169</v>
      </c>
      <c r="L104" s="7">
        <v>229.14801224904159</v>
      </c>
      <c r="M104" s="8">
        <v>125</v>
      </c>
      <c r="O104" s="15">
        <v>150</v>
      </c>
      <c r="P104" s="10">
        <v>445.2583491368972</v>
      </c>
      <c r="Q104" s="11">
        <v>223.08446813881667</v>
      </c>
      <c r="R104" s="13">
        <v>177.80028638785245</v>
      </c>
      <c r="S104" s="14">
        <v>120.86896832638504</v>
      </c>
      <c r="T104" s="204">
        <f t="shared" si="13"/>
        <v>95.5527181439035</v>
      </c>
      <c r="U104" s="204">
        <f t="shared" si="14"/>
        <v>775.8880713284964</v>
      </c>
      <c r="V104" s="204">
        <f t="shared" si="15"/>
        <v>730.0227666194228</v>
      </c>
      <c r="W104" s="204">
        <f t="shared" si="16"/>
        <v>518.8512595213961</v>
      </c>
      <c r="X104" s="204">
        <f t="shared" si="17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455.87794510605397</v>
      </c>
      <c r="G105" s="4" t="s">
        <v>21</v>
      </c>
      <c r="H105" s="13">
        <v>674.1198657805224</v>
      </c>
      <c r="I105" s="5">
        <v>352.36679486686927</v>
      </c>
      <c r="J105" s="6" t="s">
        <v>21</v>
      </c>
      <c r="K105" s="14">
        <v>539.295892624418</v>
      </c>
      <c r="L105" s="7">
        <v>227.58816103645478</v>
      </c>
      <c r="M105" s="8" t="s">
        <v>21</v>
      </c>
      <c r="O105" s="15">
        <v>200</v>
      </c>
      <c r="P105" s="10">
        <v>586.1704358213573</v>
      </c>
      <c r="Q105" s="11">
        <v>292.4858803972086</v>
      </c>
      <c r="R105" s="13">
        <v>232.870493949699</v>
      </c>
      <c r="S105" s="14">
        <v>158.16171498580658</v>
      </c>
      <c r="T105" s="204">
        <f t="shared" si="13"/>
        <v>124.14730493195626</v>
      </c>
      <c r="U105" s="204">
        <f t="shared" si="14"/>
        <v>1008.0761160474847</v>
      </c>
      <c r="V105" s="204">
        <f t="shared" si="15"/>
        <v>948.4854096801457</v>
      </c>
      <c r="W105" s="204">
        <f t="shared" si="16"/>
        <v>674.1198657805224</v>
      </c>
      <c r="X105" s="204">
        <f t="shared" si="17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454.0525054214532</v>
      </c>
      <c r="G106" s="4" t="s">
        <v>21</v>
      </c>
      <c r="H106" s="13">
        <v>825.8957618090687</v>
      </c>
      <c r="I106" s="5">
        <v>350.59473392885866</v>
      </c>
      <c r="J106" s="6" t="s">
        <v>21</v>
      </c>
      <c r="K106" s="14">
        <v>660.7166094472551</v>
      </c>
      <c r="L106" s="7">
        <v>226.24008616751732</v>
      </c>
      <c r="M106" s="8" t="s">
        <v>21</v>
      </c>
      <c r="O106" s="15">
        <v>250</v>
      </c>
      <c r="P106" s="10">
        <v>727.0801721993718</v>
      </c>
      <c r="Q106" s="11">
        <v>361.5107191071033</v>
      </c>
      <c r="R106" s="13">
        <v>287.5643669966442</v>
      </c>
      <c r="S106" s="14">
        <v>195.15350684199905</v>
      </c>
      <c r="T106" s="204">
        <f t="shared" si="13"/>
        <v>152.0986669998285</v>
      </c>
      <c r="U106" s="204">
        <f t="shared" si="14"/>
        <v>1235.0411760386073</v>
      </c>
      <c r="V106" s="204">
        <f t="shared" si="15"/>
        <v>1162.0338158786897</v>
      </c>
      <c r="W106" s="204">
        <f t="shared" si="16"/>
        <v>825.8957618090687</v>
      </c>
      <c r="X106" s="204">
        <f t="shared" si="17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452.4749162410842</v>
      </c>
      <c r="G107" s="4" t="s">
        <v>21</v>
      </c>
      <c r="H107" s="13">
        <v>974.9451235573889</v>
      </c>
      <c r="I107" s="5">
        <v>349.0634455935066</v>
      </c>
      <c r="J107" s="6" t="s">
        <v>21</v>
      </c>
      <c r="K107" s="14">
        <v>779.9560988459112</v>
      </c>
      <c r="L107" s="7">
        <v>225.07528907356536</v>
      </c>
      <c r="M107" s="8" t="s">
        <v>21</v>
      </c>
      <c r="O107" s="15">
        <v>300</v>
      </c>
      <c r="P107" s="10">
        <v>867.9889827830037</v>
      </c>
      <c r="Q107" s="11">
        <v>430.2445251544908</v>
      </c>
      <c r="R107" s="13">
        <v>341.96730153729777</v>
      </c>
      <c r="S107" s="14">
        <v>231.91259232891827</v>
      </c>
      <c r="T107" s="204">
        <f t="shared" si="13"/>
        <v>179.54790489086352</v>
      </c>
      <c r="U107" s="204">
        <f t="shared" si="14"/>
        <v>1457.9289877138117</v>
      </c>
      <c r="V107" s="204">
        <f t="shared" si="15"/>
        <v>1371.7459933661974</v>
      </c>
      <c r="W107" s="204">
        <f t="shared" si="16"/>
        <v>974.9451235573889</v>
      </c>
      <c r="X107" s="204">
        <f t="shared" si="17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451.0972103614712</v>
      </c>
      <c r="G108" s="4" t="s">
        <v>21</v>
      </c>
      <c r="H108" s="13">
        <v>1121.7646497801454</v>
      </c>
      <c r="I108" s="5">
        <v>347.7263037610104</v>
      </c>
      <c r="J108" s="6" t="s">
        <v>21</v>
      </c>
      <c r="K108" s="14">
        <v>897.4117198241164</v>
      </c>
      <c r="L108" s="7">
        <v>224.05825868453468</v>
      </c>
      <c r="M108" s="8" t="s">
        <v>21</v>
      </c>
      <c r="O108" s="15">
        <v>350</v>
      </c>
      <c r="P108" s="10">
        <v>1008.8973560951571</v>
      </c>
      <c r="Q108" s="11">
        <v>498.74213382933476</v>
      </c>
      <c r="R108" s="13">
        <v>396.1340831772995</v>
      </c>
      <c r="S108" s="14">
        <v>268.4827764832275</v>
      </c>
      <c r="T108" s="204">
        <f t="shared" si="13"/>
        <v>206.5864916722183</v>
      </c>
      <c r="U108" s="204">
        <f t="shared" si="14"/>
        <v>1677.4823123784124</v>
      </c>
      <c r="V108" s="204">
        <f t="shared" si="15"/>
        <v>1578.3207963757477</v>
      </c>
      <c r="W108" s="204">
        <f t="shared" si="16"/>
        <v>1121.7646497801454</v>
      </c>
      <c r="X108" s="204">
        <f t="shared" si="17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A1">
      <selection activeCell="B1" sqref="B1:D1"/>
    </sheetView>
  </sheetViews>
  <sheetFormatPr defaultColWidth="11.421875" defaultRowHeight="15"/>
  <cols>
    <col min="9" max="9" width="11.7109375" style="0" bestFit="1" customWidth="1"/>
    <col min="20" max="20" width="20.8515625" style="0" customWidth="1"/>
    <col min="21" max="21" width="15.57421875" style="0" customWidth="1"/>
  </cols>
  <sheetData>
    <row r="1" spans="1:13" ht="18">
      <c r="A1" s="326" t="s">
        <v>11</v>
      </c>
      <c r="B1" s="327" t="s">
        <v>12</v>
      </c>
      <c r="C1" s="327"/>
      <c r="D1" s="328"/>
      <c r="E1" s="329" t="s">
        <v>13</v>
      </c>
      <c r="F1" s="330"/>
      <c r="G1" s="330"/>
      <c r="H1" s="331" t="s">
        <v>14</v>
      </c>
      <c r="I1" s="332"/>
      <c r="J1" s="332"/>
      <c r="K1" s="333" t="s">
        <v>15</v>
      </c>
      <c r="L1" s="334"/>
      <c r="M1" s="334"/>
    </row>
    <row r="2" spans="1:23" ht="26.25" customHeight="1">
      <c r="A2" s="326"/>
      <c r="B2" s="335" t="s">
        <v>16</v>
      </c>
      <c r="C2" s="336"/>
      <c r="D2" s="337"/>
      <c r="E2" s="338" t="s">
        <v>17</v>
      </c>
      <c r="F2" s="339"/>
      <c r="G2" s="340"/>
      <c r="H2" s="341" t="s">
        <v>17</v>
      </c>
      <c r="I2" s="342"/>
      <c r="J2" s="343"/>
      <c r="K2" s="344" t="s">
        <v>17</v>
      </c>
      <c r="L2" s="345"/>
      <c r="M2" s="346"/>
      <c r="P2" s="325" t="s">
        <v>171</v>
      </c>
      <c r="Q2" s="325"/>
      <c r="R2" s="325"/>
      <c r="S2" s="325"/>
      <c r="U2" s="202" t="s">
        <v>168</v>
      </c>
      <c r="V2" s="207" t="s">
        <v>167</v>
      </c>
      <c r="W2" s="202" t="s">
        <v>169</v>
      </c>
    </row>
    <row r="3" spans="1:24" ht="38.25">
      <c r="A3" s="326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202" t="s">
        <v>11</v>
      </c>
      <c r="P3" t="s">
        <v>73</v>
      </c>
      <c r="Q3" t="s">
        <v>76</v>
      </c>
      <c r="R3" t="s">
        <v>74</v>
      </c>
      <c r="S3" t="s">
        <v>75</v>
      </c>
      <c r="T3" s="205" t="s">
        <v>166</v>
      </c>
      <c r="U3" s="206">
        <v>8.12</v>
      </c>
      <c r="V3" s="206">
        <v>7.64</v>
      </c>
      <c r="W3" s="206">
        <v>5.43</v>
      </c>
      <c r="X3" s="206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340.04934281824575</v>
      </c>
      <c r="G4" s="4">
        <v>5</v>
      </c>
      <c r="H4" s="13">
        <v>5.43</v>
      </c>
      <c r="I4" s="16">
        <v>238.3401979566633</v>
      </c>
      <c r="J4" s="6">
        <v>5</v>
      </c>
      <c r="K4" s="14">
        <v>4.344</v>
      </c>
      <c r="L4" s="17">
        <v>159.23859720105858</v>
      </c>
      <c r="M4" s="8">
        <v>5</v>
      </c>
      <c r="O4" s="194">
        <v>1</v>
      </c>
      <c r="P4" s="10">
        <v>8.908889039986956</v>
      </c>
      <c r="Q4" s="11">
        <v>3.4295581157762562</v>
      </c>
      <c r="R4" s="203">
        <v>2.504050923018408</v>
      </c>
      <c r="S4" s="14">
        <v>1.7524124640425989</v>
      </c>
      <c r="T4" s="204">
        <f>+POWER(A4,0.91)</f>
        <v>1</v>
      </c>
      <c r="U4" s="204">
        <f>+T4*$U$3</f>
        <v>8.12</v>
      </c>
      <c r="V4" s="204">
        <f>+T4*$V$3</f>
        <v>7.64</v>
      </c>
      <c r="W4" s="204">
        <f>+T4*$W$3</f>
        <v>5.43</v>
      </c>
      <c r="X4" s="201">
        <f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335.91491898895254</v>
      </c>
      <c r="G5" s="4">
        <v>10</v>
      </c>
      <c r="H5" s="13">
        <v>10.203217056464167</v>
      </c>
      <c r="I5" s="16">
        <v>234.37237640852547</v>
      </c>
      <c r="J5" s="6">
        <v>5</v>
      </c>
      <c r="K5" s="14">
        <v>8.162573645171335</v>
      </c>
      <c r="L5" s="17">
        <v>156.20861684113848</v>
      </c>
      <c r="M5" s="8">
        <v>5</v>
      </c>
      <c r="O5" s="194">
        <v>2</v>
      </c>
      <c r="P5" s="10">
        <v>16.082077694815176</v>
      </c>
      <c r="Q5" s="11">
        <v>6.124280586489884</v>
      </c>
      <c r="R5" s="203">
        <v>4.45358084893161</v>
      </c>
      <c r="S5" s="14">
        <v>3.1100764831756944</v>
      </c>
      <c r="T5" s="204">
        <f aca="true" t="shared" si="0" ref="T5:T68">+POWER(A5,0.91)</f>
        <v>1.8790454984280236</v>
      </c>
      <c r="U5" s="204">
        <f aca="true" t="shared" si="1" ref="U5:U68">+T5*$U$3</f>
        <v>15.25784944723555</v>
      </c>
      <c r="V5" s="204">
        <f aca="true" t="shared" si="2" ref="V5:V68">+T5*$V$3</f>
        <v>14.3559076079901</v>
      </c>
      <c r="W5" s="204">
        <f aca="true" t="shared" si="3" ref="W5:W68">+T5*$W$3</f>
        <v>10.203217056464167</v>
      </c>
      <c r="X5" s="201">
        <f aca="true" t="shared" si="4" ref="X5:X68">+T5*$X$3</f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333.07145555545054</v>
      </c>
      <c r="G6" s="4">
        <v>10</v>
      </c>
      <c r="H6" s="13">
        <v>14.756391583683156</v>
      </c>
      <c r="I6" s="16">
        <v>231.64471334337654</v>
      </c>
      <c r="J6" s="6">
        <v>10</v>
      </c>
      <c r="K6" s="14">
        <v>11.805113266946526</v>
      </c>
      <c r="L6" s="17">
        <v>154.126165318499</v>
      </c>
      <c r="M6" s="8">
        <v>5</v>
      </c>
      <c r="O6" s="194">
        <v>3</v>
      </c>
      <c r="P6" s="10">
        <v>21.981602599249506</v>
      </c>
      <c r="Q6" s="11">
        <v>8.308162155241025</v>
      </c>
      <c r="R6" s="203">
        <v>6.02458546878363</v>
      </c>
      <c r="S6" s="14">
        <v>4.200780046397355</v>
      </c>
      <c r="T6" s="204">
        <f t="shared" si="0"/>
        <v>2.717567510807211</v>
      </c>
      <c r="U6" s="204">
        <f t="shared" si="1"/>
        <v>22.066648187754552</v>
      </c>
      <c r="V6" s="204">
        <f t="shared" si="2"/>
        <v>20.762215782567093</v>
      </c>
      <c r="W6" s="204">
        <f t="shared" si="3"/>
        <v>14.756391583683156</v>
      </c>
      <c r="X6" s="201">
        <f t="shared" si="4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328.50719730319554</v>
      </c>
      <c r="G7" s="4">
        <v>15</v>
      </c>
      <c r="H7" s="13">
        <v>19.172309079433024</v>
      </c>
      <c r="I7" s="16">
        <v>227.26846512005596</v>
      </c>
      <c r="J7" s="6">
        <v>10</v>
      </c>
      <c r="K7" s="14">
        <v>15.33784726354642</v>
      </c>
      <c r="L7" s="17">
        <v>150.78596322224692</v>
      </c>
      <c r="M7" s="8">
        <v>10</v>
      </c>
      <c r="O7" s="194">
        <v>4</v>
      </c>
      <c r="P7" s="10">
        <v>26.979045657097046</v>
      </c>
      <c r="Q7" s="11">
        <v>10.07323138354697</v>
      </c>
      <c r="R7" s="203">
        <v>7.270491255421831</v>
      </c>
      <c r="S7" s="14">
        <v>5.056802505903509</v>
      </c>
      <c r="T7" s="204">
        <f t="shared" si="0"/>
        <v>3.5308119851626194</v>
      </c>
      <c r="U7" s="204">
        <f t="shared" si="1"/>
        <v>28.670193319520468</v>
      </c>
      <c r="V7" s="204">
        <f t="shared" si="2"/>
        <v>26.97540356664241</v>
      </c>
      <c r="W7" s="204">
        <f t="shared" si="3"/>
        <v>19.172309079433024</v>
      </c>
      <c r="X7" s="201">
        <f t="shared" si="4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326.6812594466542</v>
      </c>
      <c r="G8" s="4">
        <v>15</v>
      </c>
      <c r="H8" s="13">
        <v>23.488892134136496</v>
      </c>
      <c r="I8" s="16">
        <v>225.51849107161704</v>
      </c>
      <c r="J8" s="6">
        <v>10</v>
      </c>
      <c r="K8" s="14">
        <v>18.791113707309197</v>
      </c>
      <c r="L8" s="17">
        <v>149.45059185074828</v>
      </c>
      <c r="M8" s="8">
        <v>10</v>
      </c>
      <c r="O8" s="15">
        <v>5</v>
      </c>
      <c r="P8" s="10">
        <v>31.350599840434633</v>
      </c>
      <c r="Q8" s="11">
        <v>11.647850572246078</v>
      </c>
      <c r="R8" s="203">
        <v>8.390967977866188</v>
      </c>
      <c r="S8" s="14">
        <v>5.830103510177247</v>
      </c>
      <c r="T8" s="204">
        <f t="shared" si="0"/>
        <v>4.325762823966206</v>
      </c>
      <c r="U8" s="204">
        <f t="shared" si="1"/>
        <v>35.125194130605585</v>
      </c>
      <c r="V8" s="204">
        <f t="shared" si="2"/>
        <v>33.04882797510181</v>
      </c>
      <c r="W8" s="204">
        <f t="shared" si="3"/>
        <v>23.488892134136496</v>
      </c>
      <c r="X8" s="201">
        <f t="shared" si="4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37.5</v>
      </c>
      <c r="E9" s="11">
        <v>39.013148103623955</v>
      </c>
      <c r="F9" s="12">
        <v>325.53427669248714</v>
      </c>
      <c r="G9" s="4">
        <v>15</v>
      </c>
      <c r="H9" s="13">
        <v>27.727931178361004</v>
      </c>
      <c r="I9" s="16">
        <v>224.41944871313876</v>
      </c>
      <c r="J9" s="6">
        <v>10</v>
      </c>
      <c r="K9" s="14">
        <v>22.182344942688804</v>
      </c>
      <c r="L9" s="17">
        <v>148.61202592186416</v>
      </c>
      <c r="M9" s="8">
        <v>10</v>
      </c>
      <c r="O9" s="15">
        <v>6</v>
      </c>
      <c r="P9" s="10">
        <v>35.29094141446951</v>
      </c>
      <c r="Q9" s="11">
        <v>13.071076132225999</v>
      </c>
      <c r="R9" s="203">
        <v>9.40484794466119</v>
      </c>
      <c r="S9" s="14">
        <v>6.530267828509703</v>
      </c>
      <c r="T9" s="204">
        <f t="shared" si="0"/>
        <v>5.106432997856539</v>
      </c>
      <c r="U9" s="204">
        <f t="shared" si="1"/>
        <v>41.46423594259509</v>
      </c>
      <c r="V9" s="204">
        <f t="shared" si="2"/>
        <v>39.013148103623955</v>
      </c>
      <c r="W9" s="204">
        <f t="shared" si="3"/>
        <v>27.727931178361004</v>
      </c>
      <c r="X9" s="201">
        <f t="shared" si="4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326.52485757273695</v>
      </c>
      <c r="G10" s="4">
        <v>15</v>
      </c>
      <c r="H10" s="13">
        <v>31.903552575275988</v>
      </c>
      <c r="I10" s="16">
        <v>225.36861614869875</v>
      </c>
      <c r="J10" s="6">
        <v>15</v>
      </c>
      <c r="K10" s="14">
        <v>25.522842060220796</v>
      </c>
      <c r="L10" s="17">
        <v>149.33623354132692</v>
      </c>
      <c r="M10" s="8">
        <v>10</v>
      </c>
      <c r="O10" s="15">
        <v>7</v>
      </c>
      <c r="P10" s="10">
        <v>38.933214735356096</v>
      </c>
      <c r="Q10" s="11">
        <v>14.458929668001094</v>
      </c>
      <c r="R10" s="203">
        <v>10.414320950457714</v>
      </c>
      <c r="S10" s="14">
        <v>7.2352986396401375</v>
      </c>
      <c r="T10" s="204">
        <f t="shared" si="0"/>
        <v>5.875424047012153</v>
      </c>
      <c r="U10" s="204">
        <f t="shared" si="1"/>
        <v>47.70844326173868</v>
      </c>
      <c r="V10" s="204">
        <f t="shared" si="2"/>
        <v>44.888239719172844</v>
      </c>
      <c r="W10" s="204">
        <f t="shared" si="3"/>
        <v>31.903552575275988</v>
      </c>
      <c r="X10" s="201">
        <f t="shared" si="4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50</v>
      </c>
      <c r="E11" s="11">
        <v>50.688010640178675</v>
      </c>
      <c r="F11" s="12">
        <v>327.43003830285465</v>
      </c>
      <c r="G11" s="4">
        <v>25</v>
      </c>
      <c r="H11" s="13">
        <v>36.02564107017935</v>
      </c>
      <c r="I11" s="16">
        <v>226.2360662601347</v>
      </c>
      <c r="J11" s="6">
        <v>15</v>
      </c>
      <c r="K11" s="14">
        <v>28.82051285614348</v>
      </c>
      <c r="L11" s="17">
        <v>149.998137945009</v>
      </c>
      <c r="M11" s="8">
        <v>10</v>
      </c>
      <c r="O11" s="15">
        <v>8</v>
      </c>
      <c r="P11" s="10">
        <v>42.36735462209556</v>
      </c>
      <c r="Q11" s="11">
        <v>15.772888640899689</v>
      </c>
      <c r="R11" s="203">
        <v>11.371521504674886</v>
      </c>
      <c r="S11" s="14">
        <v>7.9043714513824685</v>
      </c>
      <c r="T11" s="204">
        <f t="shared" si="0"/>
        <v>6.634556366515533</v>
      </c>
      <c r="U11" s="204">
        <f t="shared" si="1"/>
        <v>53.872597696106126</v>
      </c>
      <c r="V11" s="204">
        <f t="shared" si="2"/>
        <v>50.688010640178675</v>
      </c>
      <c r="W11" s="204">
        <f t="shared" si="3"/>
        <v>36.02564107017935</v>
      </c>
      <c r="X11" s="201">
        <f t="shared" si="4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50</v>
      </c>
      <c r="E12" s="11">
        <v>56.422723063073036</v>
      </c>
      <c r="F12" s="12">
        <v>328.25038801724054</v>
      </c>
      <c r="G12" s="4">
        <v>25</v>
      </c>
      <c r="H12" s="13">
        <v>40.10149034456631</v>
      </c>
      <c r="I12" s="16">
        <v>227.0223135916298</v>
      </c>
      <c r="J12" s="6">
        <v>15</v>
      </c>
      <c r="K12" s="14">
        <v>32.08119227565305</v>
      </c>
      <c r="L12" s="17">
        <v>150.5981189497413</v>
      </c>
      <c r="M12" s="8">
        <v>10</v>
      </c>
      <c r="O12" s="15">
        <v>9</v>
      </c>
      <c r="P12" s="10">
        <v>45.654097706133584</v>
      </c>
      <c r="Q12" s="11">
        <v>17.03418691939519</v>
      </c>
      <c r="R12" s="203">
        <v>12.291373801368287</v>
      </c>
      <c r="S12" s="14">
        <v>8.54771558932557</v>
      </c>
      <c r="T12" s="204">
        <f t="shared" si="0"/>
        <v>7.3851731757949</v>
      </c>
      <c r="U12" s="204">
        <f t="shared" si="1"/>
        <v>59.967606187454585</v>
      </c>
      <c r="V12" s="204">
        <f t="shared" si="2"/>
        <v>56.422723063073036</v>
      </c>
      <c r="W12" s="204">
        <f t="shared" si="3"/>
        <v>40.10149034456631</v>
      </c>
      <c r="X12" s="201">
        <f t="shared" si="4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50</v>
      </c>
      <c r="E13" s="11">
        <v>62.100251434937185</v>
      </c>
      <c r="F13" s="12">
        <v>328.99056814264276</v>
      </c>
      <c r="G13" s="4">
        <v>25</v>
      </c>
      <c r="H13" s="13">
        <v>44.13669702771059</v>
      </c>
      <c r="I13" s="16">
        <v>227.7317988738166</v>
      </c>
      <c r="J13" s="6">
        <v>15</v>
      </c>
      <c r="K13" s="14">
        <v>35.30935762216848</v>
      </c>
      <c r="L13" s="17">
        <v>151.1395541088964</v>
      </c>
      <c r="M13" s="8">
        <v>10</v>
      </c>
      <c r="O13" s="15">
        <v>10</v>
      </c>
      <c r="P13" s="10">
        <v>48.83477434909161</v>
      </c>
      <c r="Q13" s="11">
        <v>18.25729934116336</v>
      </c>
      <c r="R13" s="203">
        <v>13.18405903993979</v>
      </c>
      <c r="S13" s="14">
        <v>9.17231236360232</v>
      </c>
      <c r="T13" s="204">
        <f t="shared" si="0"/>
        <v>8.128305161640993</v>
      </c>
      <c r="U13" s="204">
        <f t="shared" si="1"/>
        <v>66.00183791252486</v>
      </c>
      <c r="V13" s="204">
        <f t="shared" si="2"/>
        <v>62.100251434937185</v>
      </c>
      <c r="W13" s="204">
        <f t="shared" si="3"/>
        <v>44.13669702771059</v>
      </c>
      <c r="X13" s="201">
        <f t="shared" si="4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329.6570238254512</v>
      </c>
      <c r="G14" s="4">
        <v>25</v>
      </c>
      <c r="H14" s="13">
        <v>48.13568684140687</v>
      </c>
      <c r="I14" s="16">
        <v>228.3706774703445</v>
      </c>
      <c r="J14" s="6">
        <v>15</v>
      </c>
      <c r="K14" s="14">
        <v>38.508549473125505</v>
      </c>
      <c r="L14" s="17">
        <v>151.62713151256557</v>
      </c>
      <c r="M14" s="8">
        <v>10</v>
      </c>
      <c r="O14" s="15">
        <v>11</v>
      </c>
      <c r="P14" s="10">
        <v>51.93785212581211</v>
      </c>
      <c r="Q14" s="11">
        <v>19.45221901309706</v>
      </c>
      <c r="R14" s="203">
        <v>14.056612950087551</v>
      </c>
      <c r="S14" s="14">
        <v>9.782988858183645</v>
      </c>
      <c r="T14" s="204">
        <f t="shared" si="0"/>
        <v>8.86476737410808</v>
      </c>
      <c r="U14" s="204">
        <f t="shared" si="1"/>
        <v>71.9819110777576</v>
      </c>
      <c r="V14" s="204">
        <f t="shared" si="2"/>
        <v>67.72682273818573</v>
      </c>
      <c r="W14" s="204">
        <f t="shared" si="3"/>
        <v>48.13568684140687</v>
      </c>
      <c r="X14" s="201">
        <f t="shared" si="4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75</v>
      </c>
      <c r="E15" s="11">
        <v>73.30748032362037</v>
      </c>
      <c r="F15" s="12">
        <v>330.2567331344702</v>
      </c>
      <c r="G15" s="4">
        <v>25</v>
      </c>
      <c r="H15" s="13">
        <v>52.10204426142128</v>
      </c>
      <c r="I15" s="16">
        <v>228.94562031762595</v>
      </c>
      <c r="J15" s="6">
        <v>15</v>
      </c>
      <c r="K15" s="14">
        <v>41.68163540913703</v>
      </c>
      <c r="L15" s="17">
        <v>152.06593467654145</v>
      </c>
      <c r="M15" s="8">
        <v>15</v>
      </c>
      <c r="O15" s="15">
        <v>12</v>
      </c>
      <c r="P15" s="10">
        <v>54.983224664121934</v>
      </c>
      <c r="Q15" s="11">
        <v>20.625949216976643</v>
      </c>
      <c r="R15" s="203">
        <v>14.913972147864998</v>
      </c>
      <c r="S15" s="14">
        <v>10.383134264162626</v>
      </c>
      <c r="T15" s="204">
        <f t="shared" si="0"/>
        <v>9.595219937646645</v>
      </c>
      <c r="U15" s="204">
        <f t="shared" si="1"/>
        <v>77.91318589369075</v>
      </c>
      <c r="V15" s="204">
        <f t="shared" si="2"/>
        <v>73.30748032362037</v>
      </c>
      <c r="W15" s="204">
        <f t="shared" si="3"/>
        <v>52.10204426142128</v>
      </c>
      <c r="X15" s="201">
        <f t="shared" si="4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75</v>
      </c>
      <c r="E16" s="11">
        <v>78.84638915161207</v>
      </c>
      <c r="F16" s="12">
        <v>330.7965525077234</v>
      </c>
      <c r="G16" s="4">
        <v>25</v>
      </c>
      <c r="H16" s="13">
        <v>56.03872946246774</v>
      </c>
      <c r="I16" s="16">
        <v>229.46318586208665</v>
      </c>
      <c r="J16" s="6">
        <v>25</v>
      </c>
      <c r="K16" s="14">
        <v>44.8309835699742</v>
      </c>
      <c r="L16" s="17">
        <v>152.46096296859253</v>
      </c>
      <c r="M16" s="8">
        <v>15</v>
      </c>
      <c r="O16" s="15">
        <v>13</v>
      </c>
      <c r="P16" s="10">
        <v>57.98501003746078</v>
      </c>
      <c r="Q16" s="11">
        <v>21.7834768938767</v>
      </c>
      <c r="R16" s="203">
        <v>15.759656906790571</v>
      </c>
      <c r="S16" s="14">
        <v>10.975167308367933</v>
      </c>
      <c r="T16" s="204">
        <f t="shared" si="0"/>
        <v>10.320208004137706</v>
      </c>
      <c r="U16" s="204">
        <f t="shared" si="1"/>
        <v>83.80008899359817</v>
      </c>
      <c r="V16" s="204">
        <f t="shared" si="2"/>
        <v>78.84638915161207</v>
      </c>
      <c r="W16" s="204">
        <f t="shared" si="3"/>
        <v>56.03872946246774</v>
      </c>
      <c r="X16" s="201">
        <f t="shared" si="4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75</v>
      </c>
      <c r="E17" s="11">
        <v>84.34704477666975</v>
      </c>
      <c r="F17" s="12">
        <v>331.2828974130069</v>
      </c>
      <c r="G17" s="4">
        <v>25</v>
      </c>
      <c r="H17" s="13">
        <v>59.948226850434125</v>
      </c>
      <c r="I17" s="16">
        <v>229.92951319761</v>
      </c>
      <c r="J17" s="6">
        <v>25</v>
      </c>
      <c r="K17" s="14">
        <v>47.958581480347306</v>
      </c>
      <c r="L17" s="17">
        <v>152.81689711036552</v>
      </c>
      <c r="M17" s="8">
        <v>15</v>
      </c>
      <c r="O17" s="15">
        <v>14</v>
      </c>
      <c r="P17" s="10">
        <v>60.953384356132815</v>
      </c>
      <c r="Q17" s="11">
        <v>22.928410751131302</v>
      </c>
      <c r="R17" s="203">
        <v>16.596218780692613</v>
      </c>
      <c r="S17" s="14">
        <v>11.560842727186046</v>
      </c>
      <c r="T17" s="204">
        <f t="shared" si="0"/>
        <v>11.040189106893946</v>
      </c>
      <c r="U17" s="204">
        <f t="shared" si="1"/>
        <v>89.64633554797884</v>
      </c>
      <c r="V17" s="204">
        <f t="shared" si="2"/>
        <v>84.34704477666975</v>
      </c>
      <c r="W17" s="204">
        <f t="shared" si="3"/>
        <v>59.948226850434125</v>
      </c>
      <c r="X17" s="201">
        <f t="shared" si="4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75</v>
      </c>
      <c r="E18" s="11">
        <v>89.81242117539311</v>
      </c>
      <c r="F18" s="12">
        <v>331.7216089102845</v>
      </c>
      <c r="G18" s="4">
        <v>25</v>
      </c>
      <c r="H18" s="13">
        <v>63.832650128584376</v>
      </c>
      <c r="I18" s="16">
        <v>230.3501934514836</v>
      </c>
      <c r="J18" s="6">
        <v>25</v>
      </c>
      <c r="K18" s="14">
        <v>51.06612010286751</v>
      </c>
      <c r="L18" s="17">
        <v>153.13800073196197</v>
      </c>
      <c r="M18" s="8">
        <v>15</v>
      </c>
      <c r="O18" s="15">
        <v>15</v>
      </c>
      <c r="P18" s="10">
        <v>63.89579433640222</v>
      </c>
      <c r="Q18" s="11">
        <v>24.063403525128443</v>
      </c>
      <c r="R18" s="203">
        <v>17.425536897775878</v>
      </c>
      <c r="S18" s="14">
        <v>12.141454162135274</v>
      </c>
      <c r="T18" s="204">
        <f t="shared" si="0"/>
        <v>11.75555250986821</v>
      </c>
      <c r="U18" s="204">
        <f t="shared" si="1"/>
        <v>95.45508638012986</v>
      </c>
      <c r="V18" s="204">
        <f t="shared" si="2"/>
        <v>89.81242117539311</v>
      </c>
      <c r="W18" s="204">
        <f t="shared" si="3"/>
        <v>63.832650128584376</v>
      </c>
      <c r="X18" s="201">
        <f t="shared" si="4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75</v>
      </c>
      <c r="E19" s="11">
        <v>95.2450782176995</v>
      </c>
      <c r="F19" s="12">
        <v>332.11792076496545</v>
      </c>
      <c r="G19" s="4">
        <v>37.5</v>
      </c>
      <c r="H19" s="13">
        <v>67.69381868090423</v>
      </c>
      <c r="I19" s="16">
        <v>230.73023766300898</v>
      </c>
      <c r="J19" s="6">
        <v>25</v>
      </c>
      <c r="K19" s="14">
        <v>54.15505494472339</v>
      </c>
      <c r="L19" s="17">
        <v>153.42809561071496</v>
      </c>
      <c r="M19" s="8">
        <v>15</v>
      </c>
      <c r="O19" s="15">
        <v>16</v>
      </c>
      <c r="P19" s="10">
        <v>66.81776886921803</v>
      </c>
      <c r="Q19" s="11">
        <v>25.190434848715604</v>
      </c>
      <c r="R19" s="203">
        <v>18.249016517549222</v>
      </c>
      <c r="S19" s="14">
        <v>12.717970155826798</v>
      </c>
      <c r="T19" s="204">
        <f t="shared" si="0"/>
        <v>12.466633274567998</v>
      </c>
      <c r="U19" s="204">
        <f t="shared" si="1"/>
        <v>101.22906218949214</v>
      </c>
      <c r="V19" s="204">
        <f t="shared" si="2"/>
        <v>95.2450782176995</v>
      </c>
      <c r="W19" s="204">
        <f t="shared" si="3"/>
        <v>67.69381868090423</v>
      </c>
      <c r="X19" s="201">
        <f t="shared" si="4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75</v>
      </c>
      <c r="E20" s="11">
        <v>100.6472416423957</v>
      </c>
      <c r="F20" s="12">
        <v>332.476478607115</v>
      </c>
      <c r="G20" s="4">
        <v>37.5</v>
      </c>
      <c r="H20" s="13">
        <v>71.5333144133781</v>
      </c>
      <c r="I20" s="16">
        <v>231.07409466755468</v>
      </c>
      <c r="J20" s="6">
        <v>25</v>
      </c>
      <c r="K20" s="14">
        <v>57.22665153070248</v>
      </c>
      <c r="L20" s="17">
        <v>153.6905751202322</v>
      </c>
      <c r="M20" s="8">
        <v>15</v>
      </c>
      <c r="O20" s="15">
        <v>17</v>
      </c>
      <c r="P20" s="10">
        <v>69.72346952371765</v>
      </c>
      <c r="Q20" s="11">
        <v>26.311003332543713</v>
      </c>
      <c r="R20" s="203">
        <v>19.06772392266481</v>
      </c>
      <c r="S20" s="14">
        <v>13.29112656610236</v>
      </c>
      <c r="T20" s="204">
        <f t="shared" si="0"/>
        <v>13.173722728062264</v>
      </c>
      <c r="U20" s="204">
        <f t="shared" si="1"/>
        <v>106.97062855186557</v>
      </c>
      <c r="V20" s="204">
        <f t="shared" si="2"/>
        <v>100.6472416423957</v>
      </c>
      <c r="W20" s="204">
        <f t="shared" si="3"/>
        <v>71.5333144133781</v>
      </c>
      <c r="X20" s="201">
        <f t="shared" si="4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75</v>
      </c>
      <c r="E21" s="11">
        <v>106.02086378071836</v>
      </c>
      <c r="F21" s="12">
        <v>332.80138385306486</v>
      </c>
      <c r="G21" s="4">
        <v>37.5</v>
      </c>
      <c r="H21" s="13">
        <v>75.35252491221213</v>
      </c>
      <c r="I21" s="16">
        <v>231.38569282104416</v>
      </c>
      <c r="J21" s="6">
        <v>25</v>
      </c>
      <c r="K21" s="14">
        <v>60.28201992976971</v>
      </c>
      <c r="L21" s="17">
        <v>153.92843591663097</v>
      </c>
      <c r="M21" s="8">
        <v>15</v>
      </c>
      <c r="O21" s="15">
        <v>18</v>
      </c>
      <c r="P21" s="10">
        <v>72.61606919952668</v>
      </c>
      <c r="Q21" s="11">
        <v>27.426258851290825</v>
      </c>
      <c r="R21" s="203">
        <v>19.882479368539293</v>
      </c>
      <c r="S21" s="14">
        <v>13.86149026483932</v>
      </c>
      <c r="T21" s="204">
        <f t="shared" si="0"/>
        <v>13.87707641108879</v>
      </c>
      <c r="U21" s="204">
        <f t="shared" si="1"/>
        <v>112.68186045804097</v>
      </c>
      <c r="V21" s="204">
        <f t="shared" si="2"/>
        <v>106.02086378071836</v>
      </c>
      <c r="W21" s="204">
        <f t="shared" si="3"/>
        <v>75.35252491221213</v>
      </c>
      <c r="X21" s="201">
        <f t="shared" si="4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333.09624730089246</v>
      </c>
      <c r="G22" s="4">
        <v>37.5</v>
      </c>
      <c r="H22" s="13">
        <v>79.15267679222396</v>
      </c>
      <c r="I22" s="16">
        <v>231.66849108376323</v>
      </c>
      <c r="J22" s="6">
        <v>25</v>
      </c>
      <c r="K22" s="14">
        <v>63.32214143377918</v>
      </c>
      <c r="L22" s="17">
        <v>154.14431680317287</v>
      </c>
      <c r="M22" s="8">
        <v>15</v>
      </c>
      <c r="O22" s="15">
        <v>19</v>
      </c>
      <c r="P22" s="10">
        <v>75.49801622774234</v>
      </c>
      <c r="Q22" s="11">
        <v>28.53709494375544</v>
      </c>
      <c r="R22" s="203">
        <v>20.693922047101367</v>
      </c>
      <c r="S22" s="14">
        <v>14.429503673229874</v>
      </c>
      <c r="T22" s="204">
        <f t="shared" si="0"/>
        <v>14.576920219562425</v>
      </c>
      <c r="U22" s="204">
        <f t="shared" si="1"/>
        <v>118.36459218284688</v>
      </c>
      <c r="V22" s="204">
        <f t="shared" si="2"/>
        <v>111.36767047745693</v>
      </c>
      <c r="W22" s="204">
        <f t="shared" si="3"/>
        <v>79.15267679222396</v>
      </c>
      <c r="X22" s="201">
        <f t="shared" si="4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333.36424429242834</v>
      </c>
      <c r="G23" s="4">
        <v>37.5</v>
      </c>
      <c r="H23" s="13">
        <v>82.93486186540112</v>
      </c>
      <c r="I23" s="16">
        <v>231.92553167445874</v>
      </c>
      <c r="J23" s="6">
        <v>25</v>
      </c>
      <c r="K23" s="14">
        <v>66.3478894923209</v>
      </c>
      <c r="L23" s="17">
        <v>154.3405388217182</v>
      </c>
      <c r="M23" s="8">
        <v>15</v>
      </c>
      <c r="O23" s="15">
        <v>20</v>
      </c>
      <c r="P23" s="10">
        <v>78.37122110173472</v>
      </c>
      <c r="Q23" s="11">
        <v>29.644214250230092</v>
      </c>
      <c r="R23" s="203">
        <v>21.502556125484006</v>
      </c>
      <c r="S23" s="14">
        <v>14.995516335360499</v>
      </c>
      <c r="T23" s="204">
        <f t="shared" si="0"/>
        <v>15.273455223830776</v>
      </c>
      <c r="U23" s="204">
        <f t="shared" si="1"/>
        <v>124.0204564175059</v>
      </c>
      <c r="V23" s="204">
        <f t="shared" si="2"/>
        <v>116.68919791006712</v>
      </c>
      <c r="W23" s="204">
        <f t="shared" si="3"/>
        <v>82.93486186540112</v>
      </c>
      <c r="X23" s="201">
        <f t="shared" si="4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333.60816730523374</v>
      </c>
      <c r="G24" s="4">
        <v>37.5</v>
      </c>
      <c r="H24" s="13">
        <v>86.70005795789976</v>
      </c>
      <c r="I24" s="16">
        <v>232.15949031429994</v>
      </c>
      <c r="J24" s="6">
        <v>25</v>
      </c>
      <c r="K24" s="14">
        <v>69.3600463663198</v>
      </c>
      <c r="L24" s="17">
        <v>154.51914352696383</v>
      </c>
      <c r="M24" s="8">
        <v>25</v>
      </c>
      <c r="O24" s="15">
        <v>21</v>
      </c>
      <c r="P24" s="10">
        <v>81.23719024998225</v>
      </c>
      <c r="Q24" s="11">
        <v>30.748175476512763</v>
      </c>
      <c r="R24" s="203">
        <v>22.308783812936007</v>
      </c>
      <c r="S24" s="14">
        <v>15.559807605389468</v>
      </c>
      <c r="T24" s="204">
        <f t="shared" si="0"/>
        <v>15.966861502375647</v>
      </c>
      <c r="U24" s="204">
        <f t="shared" si="1"/>
        <v>129.65091539929023</v>
      </c>
      <c r="V24" s="204">
        <f t="shared" si="2"/>
        <v>121.98682187814994</v>
      </c>
      <c r="W24" s="204">
        <f t="shared" si="3"/>
        <v>86.70005795789976</v>
      </c>
      <c r="X24" s="201">
        <f t="shared" si="4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333.83047407135075</v>
      </c>
      <c r="G25" s="4">
        <v>37.5</v>
      </c>
      <c r="H25" s="13">
        <v>90.44914567308666</v>
      </c>
      <c r="I25" s="16">
        <v>232.3727222239324</v>
      </c>
      <c r="J25" s="6">
        <v>25</v>
      </c>
      <c r="K25" s="14">
        <v>72.35931653846934</v>
      </c>
      <c r="L25" s="17">
        <v>154.6819280365746</v>
      </c>
      <c r="M25" s="8">
        <v>25</v>
      </c>
      <c r="O25" s="15">
        <v>22</v>
      </c>
      <c r="P25" s="10">
        <v>84.0971230811884</v>
      </c>
      <c r="Q25" s="11">
        <v>31.849427532017888</v>
      </c>
      <c r="R25" s="203">
        <v>23.112929417321887</v>
      </c>
      <c r="S25" s="14">
        <v>16.122603160457842</v>
      </c>
      <c r="T25" s="204">
        <f t="shared" si="0"/>
        <v>16.657301228929406</v>
      </c>
      <c r="U25" s="204">
        <f t="shared" si="1"/>
        <v>135.25728597890676</v>
      </c>
      <c r="V25" s="204">
        <f t="shared" si="2"/>
        <v>127.26178138902065</v>
      </c>
      <c r="W25" s="204">
        <f t="shared" si="3"/>
        <v>90.44914567308666</v>
      </c>
      <c r="X25" s="201">
        <f t="shared" si="4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334.03333055173954</v>
      </c>
      <c r="G26" s="4">
        <v>37.5</v>
      </c>
      <c r="H26" s="13">
        <v>94.18292203878188</v>
      </c>
      <c r="I26" s="16">
        <v>232.56730322058178</v>
      </c>
      <c r="J26" s="6">
        <v>25</v>
      </c>
      <c r="K26" s="14">
        <v>75.3463376310255</v>
      </c>
      <c r="L26" s="17">
        <v>154.83047635477251</v>
      </c>
      <c r="M26" s="8">
        <v>25</v>
      </c>
      <c r="O26" s="15">
        <v>23</v>
      </c>
      <c r="P26" s="10">
        <v>86.95198323054848</v>
      </c>
      <c r="Q26" s="11">
        <v>32.94833464744873</v>
      </c>
      <c r="R26" s="203">
        <v>23.91525706131794</v>
      </c>
      <c r="S26" s="14">
        <v>16.684087167719607</v>
      </c>
      <c r="T26" s="204">
        <f t="shared" si="0"/>
        <v>17.344921185779352</v>
      </c>
      <c r="U26" s="204">
        <f t="shared" si="1"/>
        <v>140.84076002852834</v>
      </c>
      <c r="V26" s="204">
        <f t="shared" si="2"/>
        <v>132.51519785935423</v>
      </c>
      <c r="W26" s="204">
        <f t="shared" si="3"/>
        <v>94.18292203878188</v>
      </c>
      <c r="X26" s="201">
        <f t="shared" si="4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334.2186487523811</v>
      </c>
      <c r="G27" s="4">
        <v>37.5</v>
      </c>
      <c r="H27" s="13">
        <v>97.90211172832133</v>
      </c>
      <c r="I27" s="16">
        <v>232.74506589420142</v>
      </c>
      <c r="J27" s="6">
        <v>25</v>
      </c>
      <c r="K27" s="14">
        <v>78.32168938265707</v>
      </c>
      <c r="L27" s="17">
        <v>154.96618695024594</v>
      </c>
      <c r="M27" s="8">
        <v>25</v>
      </c>
      <c r="O27" s="15">
        <v>24</v>
      </c>
      <c r="P27" s="10">
        <v>89.80255145998397</v>
      </c>
      <c r="Q27" s="11">
        <v>34.04519506918679</v>
      </c>
      <c r="R27" s="203">
        <v>24.71598388121765</v>
      </c>
      <c r="S27" s="14">
        <v>17.244411353988795</v>
      </c>
      <c r="T27" s="204">
        <f t="shared" si="0"/>
        <v>18.029854830261755</v>
      </c>
      <c r="U27" s="204">
        <f t="shared" si="1"/>
        <v>146.40242122172543</v>
      </c>
      <c r="V27" s="204">
        <f t="shared" si="2"/>
        <v>137.7480909031998</v>
      </c>
      <c r="W27" s="204">
        <f t="shared" si="3"/>
        <v>97.90211172832133</v>
      </c>
      <c r="X27" s="201">
        <f t="shared" si="4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334.38811969714504</v>
      </c>
      <c r="G28" s="4">
        <v>37.5</v>
      </c>
      <c r="H28" s="13">
        <v>101.60737636999986</v>
      </c>
      <c r="I28" s="16">
        <v>232.90763115898105</v>
      </c>
      <c r="J28" s="6">
        <v>37.5</v>
      </c>
      <c r="K28" s="14">
        <v>81.2859010959999</v>
      </c>
      <c r="L28" s="17">
        <v>155.09029681212013</v>
      </c>
      <c r="M28" s="8">
        <v>25</v>
      </c>
      <c r="O28" s="15">
        <v>25</v>
      </c>
      <c r="P28" s="10">
        <v>92.64946535798681</v>
      </c>
      <c r="Q28" s="11">
        <v>35.140255125141074</v>
      </c>
      <c r="R28" s="203">
        <v>25.51528996853033</v>
      </c>
      <c r="S28" s="14">
        <v>17.803701841275974</v>
      </c>
      <c r="T28" s="204">
        <f t="shared" si="0"/>
        <v>18.71222400920808</v>
      </c>
      <c r="U28" s="204">
        <f t="shared" si="1"/>
        <v>151.9432589547696</v>
      </c>
      <c r="V28" s="204">
        <f t="shared" si="2"/>
        <v>142.96139143034972</v>
      </c>
      <c r="W28" s="204">
        <f t="shared" si="3"/>
        <v>101.60737636999986</v>
      </c>
      <c r="X28" s="201">
        <f t="shared" si="4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334.5432420171485</v>
      </c>
      <c r="G29" s="4">
        <v>37.5</v>
      </c>
      <c r="H29" s="13">
        <v>105.29932233407585</v>
      </c>
      <c r="I29" s="16">
        <v>233.0564356165032</v>
      </c>
      <c r="J29" s="6">
        <v>37.5</v>
      </c>
      <c r="K29" s="14">
        <v>84.2394578672607</v>
      </c>
      <c r="L29" s="17">
        <v>155.20390231515444</v>
      </c>
      <c r="M29" s="8">
        <v>25</v>
      </c>
      <c r="O29" s="15">
        <v>26</v>
      </c>
      <c r="P29" s="10">
        <v>95.49324943458714</v>
      </c>
      <c r="Q29" s="11">
        <v>36.233719917359394</v>
      </c>
      <c r="R29" s="203">
        <v>26.31332593615216</v>
      </c>
      <c r="S29" s="14">
        <v>18.362064352406314</v>
      </c>
      <c r="T29" s="204">
        <f t="shared" si="0"/>
        <v>19.39214039301581</v>
      </c>
      <c r="U29" s="204">
        <f t="shared" si="1"/>
        <v>157.46417999128838</v>
      </c>
      <c r="V29" s="204">
        <f t="shared" si="2"/>
        <v>148.15595260264078</v>
      </c>
      <c r="W29" s="204">
        <f t="shared" si="3"/>
        <v>105.29932233407585</v>
      </c>
      <c r="X29" s="201">
        <f t="shared" si="4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334.68534665941166</v>
      </c>
      <c r="G30" s="4">
        <v>37.5</v>
      </c>
      <c r="H30" s="13">
        <v>108.97850729534242</v>
      </c>
      <c r="I30" s="16">
        <v>233.192755209244</v>
      </c>
      <c r="J30" s="6">
        <v>37.5</v>
      </c>
      <c r="K30" s="14">
        <v>87.18280583627394</v>
      </c>
      <c r="L30" s="17">
        <v>155.30797725811328</v>
      </c>
      <c r="M30" s="8">
        <v>25</v>
      </c>
      <c r="O30" s="15">
        <v>27</v>
      </c>
      <c r="P30" s="10">
        <v>98.33433815292265</v>
      </c>
      <c r="Q30" s="11">
        <v>37.32576152965631</v>
      </c>
      <c r="R30" s="203">
        <v>27.11021873334087</v>
      </c>
      <c r="S30" s="14">
        <v>18.91958821454931</v>
      </c>
      <c r="T30" s="204">
        <f t="shared" si="0"/>
        <v>20.069706684225125</v>
      </c>
      <c r="U30" s="204">
        <f t="shared" si="1"/>
        <v>162.966018275908</v>
      </c>
      <c r="V30" s="204">
        <f t="shared" si="2"/>
        <v>153.33255906747993</v>
      </c>
      <c r="W30" s="204">
        <f t="shared" si="3"/>
        <v>108.97850729534242</v>
      </c>
      <c r="X30" s="201">
        <f t="shared" si="4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334.81561820716564</v>
      </c>
      <c r="G31" s="4">
        <v>50</v>
      </c>
      <c r="H31" s="13">
        <v>112.64544580205019</v>
      </c>
      <c r="I31" s="16">
        <v>233.3177256338703</v>
      </c>
      <c r="J31" s="6">
        <v>37.5</v>
      </c>
      <c r="K31" s="14">
        <v>90.11635664164017</v>
      </c>
      <c r="L31" s="17">
        <v>155.4033884325571</v>
      </c>
      <c r="M31" s="8">
        <v>25</v>
      </c>
      <c r="O31" s="15">
        <v>28</v>
      </c>
      <c r="P31" s="10">
        <v>101.17309371376004</v>
      </c>
      <c r="Q31" s="11">
        <v>38.41652538581449</v>
      </c>
      <c r="R31" s="203">
        <v>27.906076156357493</v>
      </c>
      <c r="S31" s="14">
        <v>19.476349467012078</v>
      </c>
      <c r="T31" s="204">
        <f t="shared" si="0"/>
        <v>20.745017643103168</v>
      </c>
      <c r="U31" s="204">
        <f t="shared" si="1"/>
        <v>168.44954326199772</v>
      </c>
      <c r="V31" s="204">
        <f t="shared" si="2"/>
        <v>158.4919347933082</v>
      </c>
      <c r="W31" s="204">
        <f t="shared" si="3"/>
        <v>112.64544580205019</v>
      </c>
      <c r="X31" s="201">
        <f t="shared" si="4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334.93511326750394</v>
      </c>
      <c r="G32" s="4">
        <v>50</v>
      </c>
      <c r="H32" s="13">
        <v>116.30061403176798</v>
      </c>
      <c r="I32" s="16">
        <v>233.4323599492782</v>
      </c>
      <c r="J32" s="6">
        <v>37.5</v>
      </c>
      <c r="K32" s="14">
        <v>93.04049122541439</v>
      </c>
      <c r="L32" s="17">
        <v>155.49090905320622</v>
      </c>
      <c r="M32" s="8">
        <v>25</v>
      </c>
      <c r="O32" s="15">
        <v>29</v>
      </c>
      <c r="P32" s="10">
        <v>104.00981990482833</v>
      </c>
      <c r="Q32" s="11">
        <v>39.50613521796486</v>
      </c>
      <c r="R32" s="203">
        <v>28.700990378097384</v>
      </c>
      <c r="S32" s="14">
        <v>20.032413295018404</v>
      </c>
      <c r="T32" s="204">
        <f t="shared" si="0"/>
        <v>21.418160963493182</v>
      </c>
      <c r="U32" s="204">
        <f t="shared" si="1"/>
        <v>173.91546702356462</v>
      </c>
      <c r="V32" s="204">
        <f t="shared" si="2"/>
        <v>163.6347497610879</v>
      </c>
      <c r="W32" s="204">
        <f t="shared" si="3"/>
        <v>116.30061403176798</v>
      </c>
      <c r="X32" s="201">
        <f t="shared" si="4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335.04477633466723</v>
      </c>
      <c r="G33" s="4">
        <v>50</v>
      </c>
      <c r="H33" s="13">
        <v>119.94445387684752</v>
      </c>
      <c r="I33" s="16">
        <v>233.5375637693135</v>
      </c>
      <c r="J33" s="6">
        <v>37.5</v>
      </c>
      <c r="K33" s="14">
        <v>95.95556310147802</v>
      </c>
      <c r="L33" s="17">
        <v>155.57123034687754</v>
      </c>
      <c r="M33" s="8">
        <v>25</v>
      </c>
      <c r="O33" s="15">
        <v>30</v>
      </c>
      <c r="P33" s="10">
        <v>106.84477297200314</v>
      </c>
      <c r="Q33" s="11">
        <v>40.59469698089185</v>
      </c>
      <c r="R33" s="203">
        <v>29.495040733033466</v>
      </c>
      <c r="S33" s="14">
        <v>20.587835951587046</v>
      </c>
      <c r="T33" s="204">
        <f t="shared" si="0"/>
        <v>22.089218025202122</v>
      </c>
      <c r="U33" s="204">
        <f t="shared" si="1"/>
        <v>179.36445036464121</v>
      </c>
      <c r="V33" s="204">
        <f t="shared" si="2"/>
        <v>168.7616257125442</v>
      </c>
      <c r="W33" s="204">
        <f t="shared" si="3"/>
        <v>119.94445387684752</v>
      </c>
      <c r="X33" s="201">
        <f t="shared" si="4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335.14545348748004</v>
      </c>
      <c r="G34" s="4">
        <v>50</v>
      </c>
      <c r="H34" s="13">
        <v>123.57737647319985</v>
      </c>
      <c r="I34" s="16">
        <v>233.63414838277785</v>
      </c>
      <c r="J34" s="6">
        <v>37.5</v>
      </c>
      <c r="K34" s="14">
        <v>98.86190117855989</v>
      </c>
      <c r="L34" s="17">
        <v>155.64497156101305</v>
      </c>
      <c r="M34" s="8">
        <v>25</v>
      </c>
      <c r="O34" s="15">
        <v>31</v>
      </c>
      <c r="P34" s="10">
        <v>109.6781702172226</v>
      </c>
      <c r="Q34" s="11">
        <v>41.682301959904144</v>
      </c>
      <c r="R34" s="203">
        <v>30.288295931885674</v>
      </c>
      <c r="S34" s="14">
        <v>21.142666287194388</v>
      </c>
      <c r="T34" s="204">
        <f t="shared" si="0"/>
        <v>22.758264543867377</v>
      </c>
      <c r="U34" s="204">
        <f t="shared" si="1"/>
        <v>184.7971080962031</v>
      </c>
      <c r="V34" s="204">
        <f t="shared" si="2"/>
        <v>173.87314111514675</v>
      </c>
      <c r="W34" s="204">
        <f t="shared" si="3"/>
        <v>123.57737647319985</v>
      </c>
      <c r="X34" s="201">
        <f t="shared" si="4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335.23790423177127</v>
      </c>
      <c r="G35" s="4">
        <v>50</v>
      </c>
      <c r="H35" s="13">
        <v>127.19976526375594</v>
      </c>
      <c r="I35" s="16">
        <v>233.72284209784866</v>
      </c>
      <c r="J35" s="6">
        <v>37.5</v>
      </c>
      <c r="K35" s="14">
        <v>101.75981221100476</v>
      </c>
      <c r="L35" s="17">
        <v>155.7126886182181</v>
      </c>
      <c r="M35" s="8">
        <v>25</v>
      </c>
      <c r="O35" s="15">
        <v>32</v>
      </c>
      <c r="P35" s="10">
        <v>112.51019684703435</v>
      </c>
      <c r="Q35" s="11">
        <v>42.7690292566119</v>
      </c>
      <c r="R35" s="203">
        <v>31.080815835931094</v>
      </c>
      <c r="S35" s="14">
        <v>21.696946976402867</v>
      </c>
      <c r="T35" s="204">
        <f t="shared" si="0"/>
        <v>23.425371135130007</v>
      </c>
      <c r="U35" s="204">
        <f t="shared" si="1"/>
        <v>190.21401361725563</v>
      </c>
      <c r="V35" s="204">
        <f t="shared" si="2"/>
        <v>178.96983547239324</v>
      </c>
      <c r="W35" s="204">
        <f t="shared" si="3"/>
        <v>127.19976526375594</v>
      </c>
      <c r="X35" s="201">
        <f t="shared" si="4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335.3228117550238</v>
      </c>
      <c r="G36" s="4">
        <v>50</v>
      </c>
      <c r="H36" s="13">
        <v>130.8119786705975</v>
      </c>
      <c r="I36" s="16">
        <v>233.80430006647217</v>
      </c>
      <c r="J36" s="6">
        <v>37.5</v>
      </c>
      <c r="K36" s="14">
        <v>104.64958293647803</v>
      </c>
      <c r="L36" s="17">
        <v>155.77488161159104</v>
      </c>
      <c r="M36" s="8">
        <v>25</v>
      </c>
      <c r="O36" s="15">
        <v>33</v>
      </c>
      <c r="P36" s="10">
        <v>115.3410114645293</v>
      </c>
      <c r="Q36" s="11">
        <v>43.85494779103153</v>
      </c>
      <c r="R36" s="203">
        <v>31.872652888574912</v>
      </c>
      <c r="S36" s="14">
        <v>22.250715508493244</v>
      </c>
      <c r="T36" s="204">
        <f t="shared" si="0"/>
        <v>24.090603806739875</v>
      </c>
      <c r="U36" s="204">
        <f t="shared" si="1"/>
        <v>195.61570291072778</v>
      </c>
      <c r="V36" s="204">
        <f t="shared" si="2"/>
        <v>184.05221308349263</v>
      </c>
      <c r="W36" s="204">
        <f t="shared" si="3"/>
        <v>130.8119786705975</v>
      </c>
      <c r="X36" s="201">
        <f t="shared" si="4"/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335.4007918218231</v>
      </c>
      <c r="G37" s="4">
        <v>50</v>
      </c>
      <c r="H37" s="13">
        <v>134.41435243609462</v>
      </c>
      <c r="I37" s="16">
        <v>233.87911280736435</v>
      </c>
      <c r="J37" s="6">
        <v>37.5</v>
      </c>
      <c r="K37" s="14">
        <v>107.5314819488757</v>
      </c>
      <c r="L37" s="17">
        <v>155.8320013074961</v>
      </c>
      <c r="M37" s="8">
        <v>25</v>
      </c>
      <c r="O37" s="15">
        <v>34</v>
      </c>
      <c r="P37" s="10">
        <v>118.17075050152964</v>
      </c>
      <c r="Q37" s="11">
        <v>44.94011792482753</v>
      </c>
      <c r="R37" s="203">
        <v>32.66385327815067</v>
      </c>
      <c r="S37" s="14">
        <v>22.80400499291732</v>
      </c>
      <c r="T37" s="204">
        <f t="shared" si="0"/>
        <v>24.754024389704348</v>
      </c>
      <c r="U37" s="204">
        <f t="shared" si="1"/>
        <v>201.0026780443993</v>
      </c>
      <c r="V37" s="204">
        <f t="shared" si="2"/>
        <v>189.12074633734122</v>
      </c>
      <c r="W37" s="204">
        <f t="shared" si="3"/>
        <v>134.41435243609462</v>
      </c>
      <c r="X37" s="201">
        <f t="shared" si="4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335.4724005049718</v>
      </c>
      <c r="G38" s="4">
        <v>50</v>
      </c>
      <c r="H38" s="13">
        <v>138.00720168258013</v>
      </c>
      <c r="I38" s="16">
        <v>233.94781361404182</v>
      </c>
      <c r="J38" s="6">
        <v>37.5</v>
      </c>
      <c r="K38" s="14">
        <v>110.40576134606412</v>
      </c>
      <c r="L38" s="17">
        <v>155.8844547979077</v>
      </c>
      <c r="M38" s="8">
        <v>25</v>
      </c>
      <c r="O38" s="15">
        <v>35</v>
      </c>
      <c r="P38" s="10">
        <v>120.99953181718034</v>
      </c>
      <c r="Q38" s="11">
        <v>46.024592785679104</v>
      </c>
      <c r="R38" s="203">
        <v>33.454457888444324</v>
      </c>
      <c r="S38" s="14">
        <v>23.356844818399427</v>
      </c>
      <c r="T38" s="204">
        <f t="shared" si="0"/>
        <v>25.415690917602237</v>
      </c>
      <c r="U38" s="204">
        <f t="shared" si="1"/>
        <v>206.37541025093014</v>
      </c>
      <c r="V38" s="204">
        <f t="shared" si="2"/>
        <v>194.17587861048108</v>
      </c>
      <c r="W38" s="204">
        <f t="shared" si="3"/>
        <v>138.00720168258013</v>
      </c>
      <c r="X38" s="201">
        <f t="shared" si="4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335.5381409180864</v>
      </c>
      <c r="G39" s="4">
        <v>50</v>
      </c>
      <c r="H39" s="13">
        <v>141.59082273147774</v>
      </c>
      <c r="I39" s="16">
        <v>234.0108850065653</v>
      </c>
      <c r="J39" s="6">
        <v>37.5</v>
      </c>
      <c r="K39" s="14">
        <v>113.27265818518222</v>
      </c>
      <c r="L39" s="17">
        <v>155.93261042331042</v>
      </c>
      <c r="M39" s="8">
        <v>25</v>
      </c>
      <c r="O39" s="15">
        <v>36</v>
      </c>
      <c r="P39" s="10">
        <v>123.82745763650372</v>
      </c>
      <c r="Q39" s="11">
        <v>47.10841935427856</v>
      </c>
      <c r="R39" s="203">
        <v>34.24450308041848</v>
      </c>
      <c r="S39" s="14">
        <v>23.909261195581323</v>
      </c>
      <c r="T39" s="204">
        <f t="shared" si="0"/>
        <v>26.075657961598115</v>
      </c>
      <c r="U39" s="204">
        <f t="shared" si="1"/>
        <v>211.73434264817666</v>
      </c>
      <c r="V39" s="204">
        <f t="shared" si="2"/>
        <v>199.2180268266096</v>
      </c>
      <c r="W39" s="204">
        <f t="shared" si="3"/>
        <v>141.59082273147774</v>
      </c>
      <c r="X39" s="201">
        <f t="shared" si="4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335.59846909068386</v>
      </c>
      <c r="G40" s="4">
        <v>50</v>
      </c>
      <c r="H40" s="13">
        <v>145.1654947158765</v>
      </c>
      <c r="I40" s="16">
        <v>234.06876436195228</v>
      </c>
      <c r="J40" s="6">
        <v>37.5</v>
      </c>
      <c r="K40" s="14">
        <v>116.1323957727012</v>
      </c>
      <c r="L40" s="17">
        <v>155.97680206905952</v>
      </c>
      <c r="M40" s="8">
        <v>25</v>
      </c>
      <c r="O40" s="15">
        <v>37</v>
      </c>
      <c r="P40" s="10">
        <v>126.65461696305972</v>
      </c>
      <c r="Q40" s="11">
        <v>48.191639361596614</v>
      </c>
      <c r="R40" s="203">
        <v>35.03402133883656</v>
      </c>
      <c r="S40" s="14">
        <v>24.461277606393462</v>
      </c>
      <c r="T40" s="204">
        <f t="shared" si="0"/>
        <v>26.7339769274174</v>
      </c>
      <c r="U40" s="204">
        <f t="shared" si="1"/>
        <v>217.0798926506293</v>
      </c>
      <c r="V40" s="204">
        <f t="shared" si="2"/>
        <v>204.24758372546893</v>
      </c>
      <c r="W40" s="204">
        <f t="shared" si="3"/>
        <v>145.1654947158765</v>
      </c>
      <c r="X40" s="201">
        <f t="shared" si="4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335.6537991056594</v>
      </c>
      <c r="G41" s="4">
        <v>50</v>
      </c>
      <c r="H41" s="13">
        <v>148.73148101495673</v>
      </c>
      <c r="I41" s="16">
        <v>234.12184883802314</v>
      </c>
      <c r="J41" s="6">
        <v>37.5</v>
      </c>
      <c r="K41" s="14">
        <v>118.9851848119654</v>
      </c>
      <c r="L41" s="17">
        <v>156.0173329227251</v>
      </c>
      <c r="M41" s="8">
        <v>37.5</v>
      </c>
      <c r="O41" s="15">
        <v>38</v>
      </c>
      <c r="P41" s="10">
        <v>129.48108757009382</v>
      </c>
      <c r="Q41" s="11">
        <v>49.27429003356147</v>
      </c>
      <c r="R41" s="203">
        <v>35.82304181008982</v>
      </c>
      <c r="S41" s="14">
        <v>25.012915178256186</v>
      </c>
      <c r="T41" s="204">
        <f t="shared" si="0"/>
        <v>27.39069631951321</v>
      </c>
      <c r="U41" s="204">
        <f t="shared" si="1"/>
        <v>222.41245411444726</v>
      </c>
      <c r="V41" s="204">
        <f t="shared" si="2"/>
        <v>209.2649198810809</v>
      </c>
      <c r="W41" s="204">
        <f t="shared" si="3"/>
        <v>148.73148101495673</v>
      </c>
      <c r="X41" s="201">
        <f t="shared" si="4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335.7045076011709</v>
      </c>
      <c r="G42" s="4">
        <v>75</v>
      </c>
      <c r="H42" s="13">
        <v>152.2890305341171</v>
      </c>
      <c r="I42" s="16">
        <v>234.17049968835528</v>
      </c>
      <c r="J42" s="6">
        <v>37.5</v>
      </c>
      <c r="K42" s="14">
        <v>121.83122442729369</v>
      </c>
      <c r="L42" s="17">
        <v>156.0544787669023</v>
      </c>
      <c r="M42" s="8">
        <v>37.5</v>
      </c>
      <c r="O42" s="15">
        <v>39</v>
      </c>
      <c r="P42" s="10">
        <v>132.30693765190983</v>
      </c>
      <c r="Q42" s="11">
        <v>50.35640471230569</v>
      </c>
      <c r="R42" s="203">
        <v>36.61159075189004</v>
      </c>
      <c r="S42" s="14">
        <v>25.56419299733977</v>
      </c>
      <c r="T42" s="204">
        <f t="shared" si="0"/>
        <v>28.045861976817147</v>
      </c>
      <c r="U42" s="204">
        <f t="shared" si="1"/>
        <v>227.7323992517552</v>
      </c>
      <c r="V42" s="204">
        <f t="shared" si="2"/>
        <v>214.270385502883</v>
      </c>
      <c r="W42" s="204">
        <f t="shared" si="3"/>
        <v>152.2890305341171</v>
      </c>
      <c r="X42" s="201">
        <f t="shared" si="4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335.75093772379216</v>
      </c>
      <c r="G43" s="4">
        <v>75</v>
      </c>
      <c r="H43" s="13">
        <v>155.8383788509319</v>
      </c>
      <c r="I43" s="16">
        <v>234.21504605151432</v>
      </c>
      <c r="J43" s="6">
        <v>37.5</v>
      </c>
      <c r="K43" s="14">
        <v>124.67070308074553</v>
      </c>
      <c r="L43" s="17">
        <v>156.0884908709276</v>
      </c>
      <c r="M43" s="8">
        <v>37.5</v>
      </c>
      <c r="O43" s="15">
        <v>40</v>
      </c>
      <c r="P43" s="10">
        <v>135.13222719988366</v>
      </c>
      <c r="Q43" s="11">
        <v>51.438013377011465</v>
      </c>
      <c r="R43" s="203">
        <v>37.39969191116648</v>
      </c>
      <c r="S43" s="14">
        <v>26.115128372140486</v>
      </c>
      <c r="T43" s="204">
        <f t="shared" si="0"/>
        <v>28.699517283781198</v>
      </c>
      <c r="U43" s="204">
        <f t="shared" si="1"/>
        <v>233.0400803443033</v>
      </c>
      <c r="V43" s="204">
        <f t="shared" si="2"/>
        <v>219.26431204808833</v>
      </c>
      <c r="W43" s="204">
        <f t="shared" si="3"/>
        <v>155.8383788509319</v>
      </c>
      <c r="X43" s="201">
        <f t="shared" si="4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335.79340260702236</v>
      </c>
      <c r="G44" s="4">
        <v>75</v>
      </c>
      <c r="H44" s="13">
        <v>159.3797492440034</v>
      </c>
      <c r="I44" s="16">
        <v>234.25578828549922</v>
      </c>
      <c r="J44" s="6">
        <v>50</v>
      </c>
      <c r="K44" s="14">
        <v>127.50379939520273</v>
      </c>
      <c r="L44" s="17">
        <v>156.1195985356032</v>
      </c>
      <c r="M44" s="8">
        <v>37.5</v>
      </c>
      <c r="O44" s="15">
        <v>41</v>
      </c>
      <c r="P44" s="10">
        <v>137.95700915415534</v>
      </c>
      <c r="Q44" s="11">
        <v>52.51914308264687</v>
      </c>
      <c r="R44" s="203">
        <v>38.18736684315763</v>
      </c>
      <c r="S44" s="14">
        <v>26.665737056328396</v>
      </c>
      <c r="T44" s="204">
        <f t="shared" si="0"/>
        <v>29.351703359853296</v>
      </c>
      <c r="U44" s="204">
        <f t="shared" si="1"/>
        <v>238.33583128200874</v>
      </c>
      <c r="V44" s="204">
        <f t="shared" si="2"/>
        <v>224.24701366927917</v>
      </c>
      <c r="W44" s="204">
        <f t="shared" si="3"/>
        <v>159.3797492440034</v>
      </c>
      <c r="X44" s="201">
        <f t="shared" si="4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335.8321884383941</v>
      </c>
      <c r="G45" s="4">
        <v>75</v>
      </c>
      <c r="H45" s="13">
        <v>162.91335361924027</v>
      </c>
      <c r="I45" s="16">
        <v>234.29300090798193</v>
      </c>
      <c r="J45" s="6">
        <v>50</v>
      </c>
      <c r="K45" s="14">
        <v>130.33068289539224</v>
      </c>
      <c r="L45" s="17">
        <v>156.14801133713922</v>
      </c>
      <c r="M45" s="8">
        <v>37.5</v>
      </c>
      <c r="O45" s="15">
        <v>42</v>
      </c>
      <c r="P45" s="10">
        <v>140.78133037169155</v>
      </c>
      <c r="Q45" s="11">
        <v>53.599818331215864</v>
      </c>
      <c r="R45" s="203">
        <v>38.97463518209336</v>
      </c>
      <c r="S45" s="14">
        <v>27.21603343803735</v>
      </c>
      <c r="T45" s="204">
        <f t="shared" si="0"/>
        <v>30.002459230062666</v>
      </c>
      <c r="U45" s="204">
        <f t="shared" si="1"/>
        <v>243.61996894810883</v>
      </c>
      <c r="V45" s="204">
        <f t="shared" si="2"/>
        <v>229.21878851767875</v>
      </c>
      <c r="W45" s="204">
        <f t="shared" si="3"/>
        <v>162.91335361924027</v>
      </c>
      <c r="X45" s="201">
        <f t="shared" si="4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335.86755716929326</v>
      </c>
      <c r="G46" s="4">
        <v>75</v>
      </c>
      <c r="H46" s="13">
        <v>166.43939334598775</v>
      </c>
      <c r="I46" s="16">
        <v>234.32693519415795</v>
      </c>
      <c r="J46" s="6">
        <v>50</v>
      </c>
      <c r="K46" s="14">
        <v>133.1515146767902</v>
      </c>
      <c r="L46" s="17">
        <v>156.17392110984338</v>
      </c>
      <c r="M46" s="8">
        <v>37.5</v>
      </c>
      <c r="O46" s="15">
        <v>43</v>
      </c>
      <c r="P46" s="10">
        <v>143.6052324433064</v>
      </c>
      <c r="Q46" s="11">
        <v>54.680061387264786</v>
      </c>
      <c r="R46" s="203">
        <v>39.76151487182436</v>
      </c>
      <c r="S46" s="14">
        <v>27.76603070136553</v>
      </c>
      <c r="T46" s="204">
        <f t="shared" si="0"/>
        <v>30.65182197900327</v>
      </c>
      <c r="U46" s="204">
        <f t="shared" si="1"/>
        <v>248.89279446950653</v>
      </c>
      <c r="V46" s="204">
        <f t="shared" si="2"/>
        <v>234.17991991958496</v>
      </c>
      <c r="W46" s="204">
        <f t="shared" si="3"/>
        <v>166.43939334598775</v>
      </c>
      <c r="X46" s="201">
        <f t="shared" si="4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335.8997489138435</v>
      </c>
      <c r="G47" s="4">
        <v>75</v>
      </c>
      <c r="H47" s="13">
        <v>169.95806001367396</v>
      </c>
      <c r="I47" s="16">
        <v>234.3578214766174</v>
      </c>
      <c r="J47" s="6">
        <v>50</v>
      </c>
      <c r="K47" s="14">
        <v>135.9664480109392</v>
      </c>
      <c r="L47" s="17">
        <v>156.19750370143194</v>
      </c>
      <c r="M47" s="8">
        <v>37.5</v>
      </c>
      <c r="O47" s="15">
        <v>44</v>
      </c>
      <c r="P47" s="10">
        <v>146.4287523858985</v>
      </c>
      <c r="Q47" s="11">
        <v>55.75989254713321</v>
      </c>
      <c r="R47" s="203">
        <v>40.54802236315958</v>
      </c>
      <c r="S47" s="14">
        <v>28.31574096475553</v>
      </c>
      <c r="T47" s="204">
        <f t="shared" si="0"/>
        <v>31.299826890179368</v>
      </c>
      <c r="U47" s="204">
        <f t="shared" si="1"/>
        <v>254.15459434825644</v>
      </c>
      <c r="V47" s="204">
        <f t="shared" si="2"/>
        <v>239.13067744097037</v>
      </c>
      <c r="W47" s="204">
        <f t="shared" si="3"/>
        <v>169.95806001367396</v>
      </c>
      <c r="X47" s="201">
        <f t="shared" si="4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335.92898407665547</v>
      </c>
      <c r="G48" s="4">
        <v>75</v>
      </c>
      <c r="H48" s="13">
        <v>173.46953611816463</v>
      </c>
      <c r="I48" s="16">
        <v>234.38587118535688</v>
      </c>
      <c r="J48" s="6">
        <v>50</v>
      </c>
      <c r="K48" s="14">
        <v>138.77562889453174</v>
      </c>
      <c r="L48" s="17">
        <v>156.2189205300484</v>
      </c>
      <c r="M48" s="8">
        <v>37.5</v>
      </c>
      <c r="O48" s="15">
        <v>45</v>
      </c>
      <c r="P48" s="10">
        <v>149.25192323114692</v>
      </c>
      <c r="Q48" s="11">
        <v>56.83933036964853</v>
      </c>
      <c r="R48" s="203">
        <v>41.33417278340353</v>
      </c>
      <c r="S48" s="14">
        <v>28.86517540004958</v>
      </c>
      <c r="T48" s="204">
        <f t="shared" si="0"/>
        <v>31.946507572406013</v>
      </c>
      <c r="U48" s="204">
        <f t="shared" si="1"/>
        <v>259.4056414879368</v>
      </c>
      <c r="V48" s="204">
        <f t="shared" si="2"/>
        <v>244.07131785318194</v>
      </c>
      <c r="W48" s="204">
        <f t="shared" si="3"/>
        <v>173.46953611816463</v>
      </c>
      <c r="X48" s="201">
        <f t="shared" si="4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335.955465243665</v>
      </c>
      <c r="G49" s="4">
        <v>75</v>
      </c>
      <c r="H49" s="13">
        <v>176.97399568577063</v>
      </c>
      <c r="I49" s="16">
        <v>234.41127866072299</v>
      </c>
      <c r="J49" s="6">
        <v>50</v>
      </c>
      <c r="K49" s="14">
        <v>141.57919654861652</v>
      </c>
      <c r="L49" s="17">
        <v>156.23831996800422</v>
      </c>
      <c r="M49" s="8">
        <v>37.5</v>
      </c>
      <c r="O49" s="15">
        <v>46</v>
      </c>
      <c r="P49" s="10">
        <v>152.07477452793887</v>
      </c>
      <c r="Q49" s="11">
        <v>57.91839187454334</v>
      </c>
      <c r="R49" s="203">
        <v>42.11998008257859</v>
      </c>
      <c r="S49" s="14">
        <v>29.41434433532164</v>
      </c>
      <c r="T49" s="204">
        <f t="shared" si="0"/>
        <v>32.59189607472756</v>
      </c>
      <c r="U49" s="204">
        <f t="shared" si="1"/>
        <v>264.64619612678774</v>
      </c>
      <c r="V49" s="204">
        <f t="shared" si="2"/>
        <v>249.00208601091853</v>
      </c>
      <c r="W49" s="204">
        <f t="shared" si="3"/>
        <v>176.97399568577063</v>
      </c>
      <c r="X49" s="201">
        <f t="shared" si="4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335.97937886555474</v>
      </c>
      <c r="G50" s="4">
        <v>75</v>
      </c>
      <c r="H50" s="13">
        <v>180.47160484180637</v>
      </c>
      <c r="I50" s="16">
        <v>234.4342227675495</v>
      </c>
      <c r="J50" s="6">
        <v>50</v>
      </c>
      <c r="K50" s="14">
        <v>144.37728387344512</v>
      </c>
      <c r="L50" s="17">
        <v>156.25583857380266</v>
      </c>
      <c r="M50" s="8">
        <v>37.5</v>
      </c>
      <c r="O50" s="15">
        <v>47</v>
      </c>
      <c r="P50" s="10">
        <v>154.89733277263946</v>
      </c>
      <c r="Q50" s="11">
        <v>58.997092713742106</v>
      </c>
      <c r="R50" s="203">
        <v>42.90545716001276</v>
      </c>
      <c r="S50" s="14">
        <v>29.963257344033387</v>
      </c>
      <c r="T50" s="204">
        <f t="shared" si="0"/>
        <v>33.236022991124564</v>
      </c>
      <c r="U50" s="204">
        <f t="shared" si="1"/>
        <v>269.87650668793145</v>
      </c>
      <c r="V50" s="204">
        <f t="shared" si="2"/>
        <v>253.92321565219166</v>
      </c>
      <c r="W50" s="204">
        <f t="shared" si="3"/>
        <v>180.47160484180637</v>
      </c>
      <c r="X50" s="201">
        <f t="shared" si="4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336.00089675923215</v>
      </c>
      <c r="G51" s="4">
        <v>75</v>
      </c>
      <c r="H51" s="13">
        <v>183.96252232969957</v>
      </c>
      <c r="I51" s="16">
        <v>234.45486833488286</v>
      </c>
      <c r="J51" s="6">
        <v>50</v>
      </c>
      <c r="K51" s="14">
        <v>147.17001786375968</v>
      </c>
      <c r="L51" s="17">
        <v>156.27160219106423</v>
      </c>
      <c r="M51" s="8">
        <v>37.5</v>
      </c>
      <c r="O51" s="15">
        <v>48</v>
      </c>
      <c r="P51" s="10">
        <v>157.7196217787702</v>
      </c>
      <c r="Q51" s="11">
        <v>60.07544731974923</v>
      </c>
      <c r="R51" s="203">
        <v>43.690615974323364</v>
      </c>
      <c r="S51" s="14">
        <v>30.511923322612986</v>
      </c>
      <c r="T51" s="204">
        <f t="shared" si="0"/>
        <v>33.878917556114104</v>
      </c>
      <c r="U51" s="204">
        <f t="shared" si="1"/>
        <v>275.09681055564647</v>
      </c>
      <c r="V51" s="204">
        <f t="shared" si="2"/>
        <v>258.83493012871173</v>
      </c>
      <c r="W51" s="204">
        <f t="shared" si="3"/>
        <v>183.96252232969957</v>
      </c>
      <c r="X51" s="201">
        <f t="shared" si="4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336.0201774493799</v>
      </c>
      <c r="G52" s="4">
        <v>75</v>
      </c>
      <c r="H52" s="13">
        <v>187.44689998589305</v>
      </c>
      <c r="I52" s="16">
        <v>234.47336744241247</v>
      </c>
      <c r="J52" s="6">
        <v>50</v>
      </c>
      <c r="K52" s="14">
        <v>149.95751998871447</v>
      </c>
      <c r="L52" s="17">
        <v>156.28572693045746</v>
      </c>
      <c r="M52" s="8">
        <v>37.5</v>
      </c>
      <c r="O52" s="15">
        <v>49</v>
      </c>
      <c r="P52" s="10">
        <v>160.54166299563678</v>
      </c>
      <c r="Q52" s="11">
        <v>61.153469034642114</v>
      </c>
      <c r="R52" s="203">
        <v>44.47546763930923</v>
      </c>
      <c r="S52" s="14">
        <v>31.060350558197904</v>
      </c>
      <c r="T52" s="204">
        <f t="shared" si="0"/>
        <v>34.52060773220867</v>
      </c>
      <c r="U52" s="204">
        <f t="shared" si="1"/>
        <v>280.30733478553435</v>
      </c>
      <c r="V52" s="204">
        <f t="shared" si="2"/>
        <v>263.7374430740742</v>
      </c>
      <c r="W52" s="204">
        <f t="shared" si="3"/>
        <v>187.44689998589305</v>
      </c>
      <c r="X52" s="201">
        <f t="shared" si="4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336.0373673691946</v>
      </c>
      <c r="G53" s="4">
        <v>75</v>
      </c>
      <c r="H53" s="13">
        <v>190.92488317513013</v>
      </c>
      <c r="I53" s="16">
        <v>234.48986057190334</v>
      </c>
      <c r="J53" s="6">
        <v>50</v>
      </c>
      <c r="K53" s="14">
        <v>152.73990654010413</v>
      </c>
      <c r="L53" s="17">
        <v>156.29832004860566</v>
      </c>
      <c r="M53" s="8">
        <v>37.5</v>
      </c>
      <c r="O53" s="15">
        <v>50</v>
      </c>
      <c r="P53" s="10">
        <v>163.3634757837749</v>
      </c>
      <c r="Q53" s="11">
        <v>62.23117022256883</v>
      </c>
      <c r="R53" s="203">
        <v>45.26002250783339</v>
      </c>
      <c r="S53" s="14">
        <v>31.60854678798593</v>
      </c>
      <c r="T53" s="204">
        <f t="shared" si="0"/>
        <v>35.16112029007922</v>
      </c>
      <c r="U53" s="204">
        <f t="shared" si="1"/>
        <v>285.5082967554432</v>
      </c>
      <c r="V53" s="204">
        <f t="shared" si="2"/>
        <v>268.6309590162052</v>
      </c>
      <c r="W53" s="204">
        <f t="shared" si="3"/>
        <v>190.92488317513013</v>
      </c>
      <c r="X53" s="201">
        <f t="shared" si="4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336.0526019368824</v>
      </c>
      <c r="G54" s="4">
        <v>75</v>
      </c>
      <c r="H54" s="13">
        <v>194.3966111901535</v>
      </c>
      <c r="I54" s="16">
        <v>234.50447763952604</v>
      </c>
      <c r="J54" s="6">
        <v>50</v>
      </c>
      <c r="K54" s="14">
        <v>155.5172889521228</v>
      </c>
      <c r="L54" s="17">
        <v>156.30948073609014</v>
      </c>
      <c r="M54" s="8">
        <v>37.5</v>
      </c>
      <c r="O54" s="15">
        <v>51</v>
      </c>
      <c r="P54" s="10">
        <v>166.18507765376836</v>
      </c>
      <c r="Q54" s="11">
        <v>63.30856236817442</v>
      </c>
      <c r="R54" s="203">
        <v>46.04429024543965</v>
      </c>
      <c r="S54" s="14">
        <v>32.156519251404575</v>
      </c>
      <c r="T54" s="204">
        <f t="shared" si="0"/>
        <v>35.80048088216455</v>
      </c>
      <c r="U54" s="204">
        <f t="shared" si="1"/>
        <v>290.6999047631761</v>
      </c>
      <c r="V54" s="204">
        <f t="shared" si="2"/>
        <v>273.51567393973716</v>
      </c>
      <c r="W54" s="204">
        <f t="shared" si="3"/>
        <v>194.3966111901535</v>
      </c>
      <c r="X54" s="201">
        <f t="shared" si="4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336.06600652235534</v>
      </c>
      <c r="G55" s="4">
        <v>75</v>
      </c>
      <c r="H55" s="13">
        <v>197.86221761936665</v>
      </c>
      <c r="I55" s="16">
        <v>234.51733892291324</v>
      </c>
      <c r="J55" s="6">
        <v>50</v>
      </c>
      <c r="K55" s="14">
        <v>158.28977409549336</v>
      </c>
      <c r="L55" s="17">
        <v>156.31930082510945</v>
      </c>
      <c r="M55" s="8">
        <v>37.5</v>
      </c>
      <c r="O55" s="15">
        <v>52</v>
      </c>
      <c r="P55" s="10">
        <v>169.00648447388303</v>
      </c>
      <c r="Q55" s="11">
        <v>64.38565616297737</v>
      </c>
      <c r="R55" s="203">
        <v>46.82827989515876</v>
      </c>
      <c r="S55" s="14">
        <v>32.704274736110065</v>
      </c>
      <c r="T55" s="204">
        <f t="shared" si="0"/>
        <v>36.4387141103806</v>
      </c>
      <c r="U55" s="204">
        <f t="shared" si="1"/>
        <v>295.88235857629047</v>
      </c>
      <c r="V55" s="204">
        <f t="shared" si="2"/>
        <v>278.3917758033078</v>
      </c>
      <c r="W55" s="204">
        <f t="shared" si="3"/>
        <v>197.86221761936665</v>
      </c>
      <c r="X55" s="201">
        <f t="shared" si="4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336.07769731670385</v>
      </c>
      <c r="G56" s="4">
        <v>75</v>
      </c>
      <c r="H56" s="13">
        <v>201.32183068559527</v>
      </c>
      <c r="I56" s="16">
        <v>234.52855589500828</v>
      </c>
      <c r="J56" s="6">
        <v>50</v>
      </c>
      <c r="K56" s="14">
        <v>161.05746454847625</v>
      </c>
      <c r="L56" s="17">
        <v>156.32786542599717</v>
      </c>
      <c r="M56" s="8">
        <v>37.5</v>
      </c>
      <c r="O56" s="15">
        <v>53</v>
      </c>
      <c r="P56" s="10">
        <v>171.82771065107232</v>
      </c>
      <c r="Q56" s="11">
        <v>65.46246158139434</v>
      </c>
      <c r="R56" s="203">
        <v>47.611999934729276</v>
      </c>
      <c r="S56" s="14">
        <v>33.25181961866791</v>
      </c>
      <c r="T56" s="204">
        <f t="shared" si="0"/>
        <v>37.07584358850742</v>
      </c>
      <c r="U56" s="204">
        <f t="shared" si="1"/>
        <v>301.0558499386802</v>
      </c>
      <c r="V56" s="204">
        <f t="shared" si="2"/>
        <v>283.25944501619665</v>
      </c>
      <c r="W56" s="204">
        <f t="shared" si="3"/>
        <v>201.32183068559527</v>
      </c>
      <c r="X56" s="201">
        <f t="shared" si="4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336.0877821154367</v>
      </c>
      <c r="G57" s="4">
        <v>75</v>
      </c>
      <c r="H57" s="13">
        <v>204.77557355871878</v>
      </c>
      <c r="I57" s="16">
        <v>234.5382319752306</v>
      </c>
      <c r="J57" s="6">
        <v>50</v>
      </c>
      <c r="K57" s="14">
        <v>163.82045884697504</v>
      </c>
      <c r="L57" s="17">
        <v>156.3352535006326</v>
      </c>
      <c r="M57" s="8">
        <v>37.5</v>
      </c>
      <c r="O57" s="15">
        <v>54</v>
      </c>
      <c r="P57" s="10">
        <v>174.6487692891881</v>
      </c>
      <c r="Q57" s="11">
        <v>66.53898794784804</v>
      </c>
      <c r="R57" s="203">
        <v>48.39545832726965</v>
      </c>
      <c r="S57" s="14">
        <v>33.7991599006361</v>
      </c>
      <c r="T57" s="204">
        <f t="shared" si="0"/>
        <v>37.71189199976405</v>
      </c>
      <c r="U57" s="204">
        <f t="shared" si="1"/>
        <v>306.22056303808404</v>
      </c>
      <c r="V57" s="204">
        <f t="shared" si="2"/>
        <v>288.11885487819734</v>
      </c>
      <c r="W57" s="204">
        <f t="shared" si="3"/>
        <v>204.77557355871878</v>
      </c>
      <c r="X57" s="201">
        <f t="shared" si="4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336.0963610251099</v>
      </c>
      <c r="G58" s="4">
        <v>75</v>
      </c>
      <c r="H58" s="13">
        <v>208.22356464463715</v>
      </c>
      <c r="I58" s="16">
        <v>234.5464632071852</v>
      </c>
      <c r="J58" s="6">
        <v>50</v>
      </c>
      <c r="K58" s="14">
        <v>166.57885171570976</v>
      </c>
      <c r="L58" s="17">
        <v>156.34153837978488</v>
      </c>
      <c r="M58" s="8">
        <v>37.5</v>
      </c>
      <c r="O58" s="15">
        <v>55</v>
      </c>
      <c r="P58" s="10">
        <v>177.46967232759556</v>
      </c>
      <c r="Q58" s="11">
        <v>67.61524399616128</v>
      </c>
      <c r="R58" s="203">
        <v>49.178662566271946</v>
      </c>
      <c r="S58" s="14">
        <v>34.34630124065748</v>
      </c>
      <c r="T58" s="204">
        <f t="shared" si="0"/>
        <v>38.34688115002526</v>
      </c>
      <c r="U58" s="204">
        <f t="shared" si="1"/>
        <v>311.3766749382051</v>
      </c>
      <c r="V58" s="204">
        <f t="shared" si="2"/>
        <v>292.970171986193</v>
      </c>
      <c r="W58" s="204">
        <f t="shared" si="3"/>
        <v>208.22356464463715</v>
      </c>
      <c r="X58" s="201">
        <f t="shared" si="4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336.1035271017688</v>
      </c>
      <c r="G59" s="4">
        <v>75</v>
      </c>
      <c r="H59" s="13">
        <v>211.66591785276051</v>
      </c>
      <c r="I59" s="16">
        <v>234.55333887099343</v>
      </c>
      <c r="J59" s="6">
        <v>50</v>
      </c>
      <c r="K59" s="14">
        <v>169.33273428220843</v>
      </c>
      <c r="L59" s="17">
        <v>156.34678823055407</v>
      </c>
      <c r="M59" s="8">
        <v>37.5</v>
      </c>
      <c r="O59" s="15">
        <v>56</v>
      </c>
      <c r="P59" s="10">
        <v>180.2904306629298</v>
      </c>
      <c r="Q59" s="11">
        <v>68.69123792226966</v>
      </c>
      <c r="R59" s="203">
        <v>49.96161971566598</v>
      </c>
      <c r="S59" s="14">
        <v>34.89324898308298</v>
      </c>
      <c r="T59" s="204">
        <f t="shared" si="0"/>
        <v>38.98083201708297</v>
      </c>
      <c r="U59" s="204">
        <f t="shared" si="1"/>
        <v>316.5243559787137</v>
      </c>
      <c r="V59" s="204">
        <f t="shared" si="2"/>
        <v>297.81355661051384</v>
      </c>
      <c r="W59" s="204">
        <f t="shared" si="3"/>
        <v>211.66591785276051</v>
      </c>
      <c r="X59" s="201">
        <f t="shared" si="4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336.1093669286144</v>
      </c>
      <c r="G60" s="4">
        <v>75</v>
      </c>
      <c r="H60" s="13">
        <v>215.10274284397178</v>
      </c>
      <c r="I60" s="16">
        <v>234.55894203734127</v>
      </c>
      <c r="J60" s="6">
        <v>75</v>
      </c>
      <c r="K60" s="14">
        <v>172.08219427517744</v>
      </c>
      <c r="L60" s="17">
        <v>156.3510664793271</v>
      </c>
      <c r="M60" s="8">
        <v>37.5</v>
      </c>
      <c r="O60" s="15">
        <v>57</v>
      </c>
      <c r="P60" s="10">
        <v>183.11105425627937</v>
      </c>
      <c r="Q60" s="11">
        <v>69.76697743112078</v>
      </c>
      <c r="R60" s="203">
        <v>50.74433644558356</v>
      </c>
      <c r="S60" s="14">
        <v>35.44000818356525</v>
      </c>
      <c r="T60" s="204">
        <f t="shared" si="0"/>
        <v>39.613764796311564</v>
      </c>
      <c r="U60" s="204">
        <f t="shared" si="1"/>
        <v>321.66377014604984</v>
      </c>
      <c r="V60" s="204">
        <f t="shared" si="2"/>
        <v>302.64916304382035</v>
      </c>
      <c r="W60" s="204">
        <f t="shared" si="3"/>
        <v>215.10274284397178</v>
      </c>
      <c r="X60" s="201">
        <f t="shared" si="4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336.1139611394027</v>
      </c>
      <c r="G61" s="4">
        <v>75</v>
      </c>
      <c r="H61" s="13">
        <v>218.5341452608086</v>
      </c>
      <c r="I61" s="16">
        <v>234.56335006949493</v>
      </c>
      <c r="J61" s="6">
        <v>75</v>
      </c>
      <c r="K61" s="14">
        <v>174.82731620864692</v>
      </c>
      <c r="L61" s="17">
        <v>156.3544321950162</v>
      </c>
      <c r="M61" s="8">
        <v>37.5</v>
      </c>
      <c r="O61" s="15">
        <v>58</v>
      </c>
      <c r="P61" s="10">
        <v>185.93155222776082</v>
      </c>
      <c r="Q61" s="11">
        <v>70.84246977850741</v>
      </c>
      <c r="R61" s="203">
        <v>51.52681906436671</v>
      </c>
      <c r="S61" s="14">
        <v>35.98658363200258</v>
      </c>
      <c r="T61" s="204">
        <f t="shared" si="0"/>
        <v>40.24569894305868</v>
      </c>
      <c r="U61" s="204">
        <f t="shared" si="1"/>
        <v>326.79507541763644</v>
      </c>
      <c r="V61" s="204">
        <f t="shared" si="2"/>
        <v>307.4771399249683</v>
      </c>
      <c r="W61" s="204">
        <f t="shared" si="3"/>
        <v>218.5341452608086</v>
      </c>
      <c r="X61" s="201">
        <f t="shared" si="4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336.1173848933195</v>
      </c>
      <c r="G62" s="4">
        <v>75</v>
      </c>
      <c r="H62" s="13">
        <v>221.9602269414197</v>
      </c>
      <c r="I62" s="16">
        <v>234.56663507878335</v>
      </c>
      <c r="J62" s="6">
        <v>75</v>
      </c>
      <c r="K62" s="14">
        <v>177.5681815531358</v>
      </c>
      <c r="L62" s="17">
        <v>156.35694043677793</v>
      </c>
      <c r="M62" s="8">
        <v>37.5</v>
      </c>
      <c r="O62" s="15">
        <v>59</v>
      </c>
      <c r="P62" s="10">
        <v>188.75193294014335</v>
      </c>
      <c r="Q62" s="11">
        <v>71.91772180847026</v>
      </c>
      <c r="R62" s="203">
        <v>52.30907354728309</v>
      </c>
      <c r="S62" s="14">
        <v>36.532979873156705</v>
      </c>
      <c r="T62" s="204">
        <f t="shared" si="0"/>
        <v>40.87665321204783</v>
      </c>
      <c r="U62" s="204">
        <f t="shared" si="1"/>
        <v>331.91842408182833</v>
      </c>
      <c r="V62" s="204">
        <f t="shared" si="2"/>
        <v>312.29763054004536</v>
      </c>
      <c r="W62" s="204">
        <f t="shared" si="3"/>
        <v>221.9602269414197</v>
      </c>
      <c r="X62" s="201">
        <f t="shared" si="4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336.1197083064031</v>
      </c>
      <c r="G63" s="4">
        <v>75</v>
      </c>
      <c r="H63" s="13">
        <v>225.3810861186979</v>
      </c>
      <c r="I63" s="16">
        <v>234.56886433840813</v>
      </c>
      <c r="J63" s="6">
        <v>75</v>
      </c>
      <c r="K63" s="14">
        <v>180.30486889495833</v>
      </c>
      <c r="L63" s="17">
        <v>156.35864256992184</v>
      </c>
      <c r="M63" s="8">
        <v>37.5</v>
      </c>
      <c r="O63" s="15">
        <v>60</v>
      </c>
      <c r="P63" s="10">
        <v>191.5722040729474</v>
      </c>
      <c r="Q63" s="11">
        <v>72.99273998681807</v>
      </c>
      <c r="R63" s="203">
        <v>53.09110556234813</v>
      </c>
      <c r="S63" s="14">
        <v>37.07920122522441</v>
      </c>
      <c r="T63" s="204">
        <f t="shared" si="0"/>
        <v>41.50664569405118</v>
      </c>
      <c r="U63" s="204">
        <f t="shared" si="1"/>
        <v>337.03396303569554</v>
      </c>
      <c r="V63" s="204">
        <f t="shared" si="2"/>
        <v>317.110773102551</v>
      </c>
      <c r="W63" s="204">
        <f t="shared" si="3"/>
        <v>225.3810861186979</v>
      </c>
      <c r="X63" s="201">
        <f t="shared" si="4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336.1209968439849</v>
      </c>
      <c r="G64" s="4">
        <v>75</v>
      </c>
      <c r="H64" s="13">
        <v>228.79681760584717</v>
      </c>
      <c r="I64" s="16">
        <v>234.5701006598755</v>
      </c>
      <c r="J64" s="6">
        <v>75</v>
      </c>
      <c r="K64" s="14">
        <v>183.03745408467776</v>
      </c>
      <c r="L64" s="17">
        <v>156.3595865532885</v>
      </c>
      <c r="M64" s="8">
        <v>50</v>
      </c>
      <c r="O64" s="15">
        <v>61</v>
      </c>
      <c r="P64" s="10">
        <v>194.3923726882371</v>
      </c>
      <c r="Q64" s="11">
        <v>74.06753043123625</v>
      </c>
      <c r="R64" s="203">
        <v>53.87292049359906</v>
      </c>
      <c r="S64" s="14">
        <v>37.625251796604196</v>
      </c>
      <c r="T64" s="204">
        <f t="shared" si="0"/>
        <v>42.13569385006394</v>
      </c>
      <c r="U64" s="204">
        <f t="shared" si="1"/>
        <v>342.14183406251914</v>
      </c>
      <c r="V64" s="204">
        <f t="shared" si="2"/>
        <v>321.91670101448847</v>
      </c>
      <c r="W64" s="204">
        <f t="shared" si="3"/>
        <v>228.79681760584717</v>
      </c>
      <c r="X64" s="201">
        <f t="shared" si="4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336.1213116781298</v>
      </c>
      <c r="G65" s="4">
        <v>100</v>
      </c>
      <c r="H65" s="13">
        <v>232.20751296951138</v>
      </c>
      <c r="I65" s="16">
        <v>234.57040273585469</v>
      </c>
      <c r="J65" s="6">
        <v>75</v>
      </c>
      <c r="K65" s="14">
        <v>185.76601037560914</v>
      </c>
      <c r="L65" s="17">
        <v>156.3598172009988</v>
      </c>
      <c r="M65" s="8">
        <v>50</v>
      </c>
      <c r="O65" s="15">
        <v>62</v>
      </c>
      <c r="P65" s="10">
        <v>197.2124452891523</v>
      </c>
      <c r="Q65" s="11">
        <v>75.14209893839133</v>
      </c>
      <c r="R65" s="203">
        <v>54.65452346211834</v>
      </c>
      <c r="S65" s="14">
        <v>38.17113550106727</v>
      </c>
      <c r="T65" s="204">
        <f t="shared" si="0"/>
        <v>42.763814543188104</v>
      </c>
      <c r="U65" s="204">
        <f t="shared" si="1"/>
        <v>347.2421740906874</v>
      </c>
      <c r="V65" s="204">
        <f t="shared" si="2"/>
        <v>326.7155431099571</v>
      </c>
      <c r="W65" s="204">
        <f t="shared" si="3"/>
        <v>232.20751296951138</v>
      </c>
      <c r="X65" s="201">
        <f t="shared" si="4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336.12071001358333</v>
      </c>
      <c r="G66" s="4">
        <v>100</v>
      </c>
      <c r="H66" s="13">
        <v>235.61326069149047</v>
      </c>
      <c r="I66" s="16">
        <v>234.56982545284197</v>
      </c>
      <c r="J66" s="6">
        <v>75</v>
      </c>
      <c r="K66" s="14">
        <v>188.4906085531924</v>
      </c>
      <c r="L66" s="17">
        <v>156.35937642115232</v>
      </c>
      <c r="M66" s="8">
        <v>50</v>
      </c>
      <c r="O66" s="15">
        <v>63</v>
      </c>
      <c r="P66" s="10">
        <v>200.03242787207273</v>
      </c>
      <c r="Q66" s="11">
        <v>76.21645100837934</v>
      </c>
      <c r="R66" s="203">
        <v>55.43591934506323</v>
      </c>
      <c r="S66" s="14">
        <v>38.71685607151234</v>
      </c>
      <c r="T66" s="204">
        <f t="shared" si="0"/>
        <v>43.39102406841445</v>
      </c>
      <c r="U66" s="204">
        <f t="shared" si="1"/>
        <v>352.3351154355253</v>
      </c>
      <c r="V66" s="204">
        <f t="shared" si="2"/>
        <v>331.5074238826864</v>
      </c>
      <c r="W66" s="204">
        <f t="shared" si="3"/>
        <v>235.61326069149047</v>
      </c>
      <c r="X66" s="201">
        <f t="shared" si="4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336.11924538536243</v>
      </c>
      <c r="G67" s="4">
        <v>100</v>
      </c>
      <c r="H67" s="13">
        <v>239.01414631996184</v>
      </c>
      <c r="I67" s="16">
        <v>234.56842017662066</v>
      </c>
      <c r="J67" s="6">
        <v>75</v>
      </c>
      <c r="K67" s="14">
        <v>191.2113170559695</v>
      </c>
      <c r="L67" s="17">
        <v>156.35830343376222</v>
      </c>
      <c r="M67" s="8">
        <v>50</v>
      </c>
      <c r="O67" s="15">
        <v>64</v>
      </c>
      <c r="P67" s="10">
        <v>202.85232597320962</v>
      </c>
      <c r="Q67" s="11">
        <v>77.29059186683037</v>
      </c>
      <c r="R67" s="203">
        <v>56.21711279293002</v>
      </c>
      <c r="S67" s="14">
        <v>39.262417072465354</v>
      </c>
      <c r="T67" s="204">
        <f t="shared" si="0"/>
        <v>44.017338180471796</v>
      </c>
      <c r="U67" s="204">
        <f t="shared" si="1"/>
        <v>357.42078602543097</v>
      </c>
      <c r="V67" s="204">
        <f t="shared" si="2"/>
        <v>336.2924636988045</v>
      </c>
      <c r="W67" s="204">
        <f t="shared" si="3"/>
        <v>239.01414631996184</v>
      </c>
      <c r="X67" s="201">
        <f t="shared" si="4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336.11696793076754</v>
      </c>
      <c r="G68" s="4">
        <v>100</v>
      </c>
      <c r="H68" s="13">
        <v>242.4102526110425</v>
      </c>
      <c r="I68" s="16">
        <v>234.56623501319632</v>
      </c>
      <c r="J68" s="6">
        <v>75</v>
      </c>
      <c r="K68" s="14">
        <v>193.928202088834</v>
      </c>
      <c r="L68" s="17">
        <v>156.35663496996537</v>
      </c>
      <c r="M68" s="8">
        <v>50</v>
      </c>
      <c r="O68" s="15">
        <v>65</v>
      </c>
      <c r="P68" s="10">
        <v>205.67214471026685</v>
      </c>
      <c r="Q68" s="11">
        <v>78.36452648492438</v>
      </c>
      <c r="R68" s="203">
        <v>56.99810824524186</v>
      </c>
      <c r="S68" s="14">
        <v>39.807821911456735</v>
      </c>
      <c r="T68" s="204">
        <f t="shared" si="0"/>
        <v>44.64277211989733</v>
      </c>
      <c r="U68" s="204">
        <f t="shared" si="1"/>
        <v>362.4993096135663</v>
      </c>
      <c r="V68" s="204">
        <f t="shared" si="2"/>
        <v>341.0707789960156</v>
      </c>
      <c r="W68" s="204">
        <f t="shared" si="3"/>
        <v>242.4102526110425</v>
      </c>
      <c r="X68" s="201">
        <f t="shared" si="4"/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336.1139246382954</v>
      </c>
      <c r="G69" s="4">
        <v>100</v>
      </c>
      <c r="H69" s="13">
        <v>245.80165966144872</v>
      </c>
      <c r="I69" s="16">
        <v>234.56331504757085</v>
      </c>
      <c r="J69" s="6">
        <v>75</v>
      </c>
      <c r="K69" s="14">
        <v>196.641327729159</v>
      </c>
      <c r="L69" s="17">
        <v>156.3544054543179</v>
      </c>
      <c r="M69" s="8">
        <v>50</v>
      </c>
      <c r="O69" s="15">
        <v>66</v>
      </c>
      <c r="P69" s="10">
        <v>208.49188881978992</v>
      </c>
      <c r="Q69" s="11">
        <v>79.43825959756182</v>
      </c>
      <c r="R69" s="203">
        <v>57.778909944839285</v>
      </c>
      <c r="S69" s="14">
        <v>40.35307384940229</v>
      </c>
      <c r="T69" s="204">
        <f aca="true" t="shared" si="5" ref="T69:T108">+POWER(A69,0.91)</f>
        <v>45.26734063746754</v>
      </c>
      <c r="U69" s="204">
        <f aca="true" t="shared" si="6" ref="U69:U108">+T69*$U$3</f>
        <v>367.5708059762364</v>
      </c>
      <c r="V69" s="204">
        <f aca="true" t="shared" si="7" ref="V69:V108">+T69*$V$3</f>
        <v>345.842482470252</v>
      </c>
      <c r="W69" s="204">
        <f aca="true" t="shared" si="8" ref="W69:W108">+T69*$W$3</f>
        <v>245.80165966144872</v>
      </c>
      <c r="X69" s="201">
        <f aca="true" t="shared" si="9" ref="X69:X108">+T69*$X$3</f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336.1101595756669</v>
      </c>
      <c r="G70" s="4">
        <v>100</v>
      </c>
      <c r="H70" s="13">
        <v>249.1884450329386</v>
      </c>
      <c r="I70" s="16">
        <v>234.55970256248952</v>
      </c>
      <c r="J70" s="6">
        <v>75</v>
      </c>
      <c r="K70" s="14">
        <v>199.35075602635092</v>
      </c>
      <c r="L70" s="17">
        <v>156.3516471717997</v>
      </c>
      <c r="M70" s="8">
        <v>50</v>
      </c>
      <c r="O70" s="15">
        <v>67</v>
      </c>
      <c r="P70" s="10">
        <v>211.31156269067912</v>
      </c>
      <c r="Q70" s="11">
        <v>80.51179571988129</v>
      </c>
      <c r="R70" s="203">
        <v>58.55952195091641</v>
      </c>
      <c r="S70" s="14">
        <v>40.89817601008853</v>
      </c>
      <c r="T70" s="204">
        <f t="shared" si="5"/>
        <v>45.89105801711577</v>
      </c>
      <c r="U70" s="204">
        <f t="shared" si="6"/>
        <v>372.63539109898</v>
      </c>
      <c r="V70" s="204">
        <f t="shared" si="7"/>
        <v>350.60768325076447</v>
      </c>
      <c r="W70" s="204">
        <f t="shared" si="8"/>
        <v>249.1884450329386</v>
      </c>
      <c r="X70" s="201">
        <f t="shared" si="9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336.10571409894305</v>
      </c>
      <c r="G71" s="4">
        <v>100</v>
      </c>
      <c r="H71" s="13">
        <v>252.57068386916137</v>
      </c>
      <c r="I71" s="16">
        <v>234.55543723904833</v>
      </c>
      <c r="J71" s="6">
        <v>75</v>
      </c>
      <c r="K71" s="14">
        <v>202.0565470953291</v>
      </c>
      <c r="L71" s="17">
        <v>156.34839042097224</v>
      </c>
      <c r="M71" s="8">
        <v>50</v>
      </c>
      <c r="O71" s="15">
        <v>68</v>
      </c>
      <c r="P71" s="10">
        <v>214.1311703943222</v>
      </c>
      <c r="Q71" s="11">
        <v>81.58513916230639</v>
      </c>
      <c r="R71" s="203">
        <v>59.3399481509374</v>
      </c>
      <c r="S71" s="14">
        <v>41.44313138885756</v>
      </c>
      <c r="T71" s="204">
        <f t="shared" si="5"/>
        <v>46.51393809745145</v>
      </c>
      <c r="U71" s="204">
        <f t="shared" si="6"/>
        <v>377.69317735130574</v>
      </c>
      <c r="V71" s="204">
        <f t="shared" si="7"/>
        <v>355.36648706452905</v>
      </c>
      <c r="W71" s="204">
        <f t="shared" si="8"/>
        <v>252.57068386916137</v>
      </c>
      <c r="X71" s="201">
        <f t="shared" si="9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336.1006270445025</v>
      </c>
      <c r="G72" s="4">
        <v>100</v>
      </c>
      <c r="H72" s="13">
        <v>255.9484490054822</v>
      </c>
      <c r="I72" s="16">
        <v>234.55055634085997</v>
      </c>
      <c r="J72" s="6">
        <v>75</v>
      </c>
      <c r="K72" s="14">
        <v>204.7587592043858</v>
      </c>
      <c r="L72" s="17">
        <v>156.3446636545855</v>
      </c>
      <c r="M72" s="8">
        <v>50</v>
      </c>
      <c r="O72" s="15">
        <v>69</v>
      </c>
      <c r="P72" s="10">
        <v>216.9507157117277</v>
      </c>
      <c r="Q72" s="11">
        <v>82.65829404427606</v>
      </c>
      <c r="R72" s="203">
        <v>60.120192271548056</v>
      </c>
      <c r="S72" s="14">
        <v>41.98794286057236</v>
      </c>
      <c r="T72" s="204">
        <f t="shared" si="5"/>
        <v>47.135994291985675</v>
      </c>
      <c r="U72" s="204">
        <f t="shared" si="6"/>
        <v>382.7442736509236</v>
      </c>
      <c r="V72" s="204">
        <f t="shared" si="7"/>
        <v>360.1189963907705</v>
      </c>
      <c r="W72" s="204">
        <f t="shared" si="8"/>
        <v>255.9484490054822</v>
      </c>
      <c r="X72" s="201">
        <f t="shared" si="9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336.09493490546083</v>
      </c>
      <c r="G73" s="4">
        <v>100</v>
      </c>
      <c r="H73" s="13">
        <v>259.32181107230065</v>
      </c>
      <c r="I73" s="16">
        <v>234.54509488330046</v>
      </c>
      <c r="J73" s="6">
        <v>75</v>
      </c>
      <c r="K73" s="14">
        <v>207.45744885784055</v>
      </c>
      <c r="L73" s="17">
        <v>156.34049360879453</v>
      </c>
      <c r="M73" s="8">
        <v>50</v>
      </c>
      <c r="O73" s="15">
        <v>70</v>
      </c>
      <c r="P73" s="10">
        <v>219.77020215799695</v>
      </c>
      <c r="Q73" s="11">
        <v>83.73126430679622</v>
      </c>
      <c r="R73" s="203">
        <v>60.900257888585145</v>
      </c>
      <c r="S73" s="14">
        <v>42.53261318693528</v>
      </c>
      <c r="T73" s="204">
        <f t="shared" si="5"/>
        <v>47.7572396081585</v>
      </c>
      <c r="U73" s="204">
        <f t="shared" si="6"/>
        <v>387.788785618247</v>
      </c>
      <c r="V73" s="204">
        <f t="shared" si="7"/>
        <v>364.8653106063309</v>
      </c>
      <c r="W73" s="204">
        <f t="shared" si="8"/>
        <v>259.32181107230065</v>
      </c>
      <c r="X73" s="201">
        <f t="shared" si="9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336.0886719939589</v>
      </c>
      <c r="G74" s="4">
        <v>100</v>
      </c>
      <c r="H74" s="13">
        <v>262.6908385923348</v>
      </c>
      <c r="I74" s="16">
        <v>234.53908578919905</v>
      </c>
      <c r="J74" s="6">
        <v>75</v>
      </c>
      <c r="K74" s="14">
        <v>210.15267087386786</v>
      </c>
      <c r="L74" s="17">
        <v>156.33590542202518</v>
      </c>
      <c r="M74" s="8">
        <v>50</v>
      </c>
      <c r="O74" s="15">
        <v>71</v>
      </c>
      <c r="P74" s="10">
        <v>222.5896330044165</v>
      </c>
      <c r="Q74" s="11">
        <v>84.80405372392856</v>
      </c>
      <c r="R74" s="203">
        <v>61.68014843627005</v>
      </c>
      <c r="S74" s="14">
        <v>43.07714502322086</v>
      </c>
      <c r="T74" s="204">
        <f t="shared" si="5"/>
        <v>48.37768666525503</v>
      </c>
      <c r="U74" s="204">
        <f t="shared" si="6"/>
        <v>392.8268157218708</v>
      </c>
      <c r="V74" s="204">
        <f t="shared" si="7"/>
        <v>369.6055261225484</v>
      </c>
      <c r="W74" s="204">
        <f t="shared" si="8"/>
        <v>262.6908385923348</v>
      </c>
      <c r="X74" s="201">
        <f t="shared" si="9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336.08187059058776</v>
      </c>
      <c r="G75" s="4">
        <v>100</v>
      </c>
      <c r="H75" s="13">
        <v>266.0555980723035</v>
      </c>
      <c r="I75" s="16">
        <v>234.53256003219022</v>
      </c>
      <c r="J75" s="6">
        <v>75</v>
      </c>
      <c r="K75" s="14">
        <v>212.84447845784283</v>
      </c>
      <c r="L75" s="17">
        <v>156.3309227444242</v>
      </c>
      <c r="M75" s="8">
        <v>50</v>
      </c>
      <c r="O75" s="15">
        <v>72</v>
      </c>
      <c r="P75" s="10">
        <v>225.40901129846233</v>
      </c>
      <c r="Q75" s="11">
        <v>85.87666591333456</v>
      </c>
      <c r="R75" s="203">
        <v>62.4598672156748</v>
      </c>
      <c r="S75" s="14">
        <v>43.62154092448556</v>
      </c>
      <c r="T75" s="204">
        <f t="shared" si="5"/>
        <v>48.997347711289784</v>
      </c>
      <c r="U75" s="204">
        <f t="shared" si="6"/>
        <v>397.858463415673</v>
      </c>
      <c r="V75" s="204">
        <f t="shared" si="7"/>
        <v>374.33973651425396</v>
      </c>
      <c r="W75" s="204">
        <f t="shared" si="8"/>
        <v>266.0555980723035</v>
      </c>
      <c r="X75" s="201">
        <f t="shared" si="9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336.0745610821172</v>
      </c>
      <c r="G76" s="4">
        <v>100</v>
      </c>
      <c r="H76" s="13">
        <v>269.41615408940385</v>
      </c>
      <c r="I76" s="16">
        <v>234.52554676884458</v>
      </c>
      <c r="J76" s="6">
        <v>75</v>
      </c>
      <c r="K76" s="14">
        <v>215.5329232715231</v>
      </c>
      <c r="L76" s="17">
        <v>156.3255678387391</v>
      </c>
      <c r="M76" s="8">
        <v>50</v>
      </c>
      <c r="O76" s="15">
        <v>73</v>
      </c>
      <c r="P76" s="10">
        <v>228.2283398818875</v>
      </c>
      <c r="Q76" s="11">
        <v>86.9491043459501</v>
      </c>
      <c r="R76" s="203">
        <v>63.23941740251736</v>
      </c>
      <c r="S76" s="14">
        <v>44.1658033512947</v>
      </c>
      <c r="T76" s="204">
        <f t="shared" si="5"/>
        <v>49.61623463893257</v>
      </c>
      <c r="U76" s="204">
        <f t="shared" si="6"/>
        <v>402.8838252681324</v>
      </c>
      <c r="V76" s="204">
        <f t="shared" si="7"/>
        <v>379.0680326414448</v>
      </c>
      <c r="W76" s="204">
        <f t="shared" si="8"/>
        <v>269.41615408940385</v>
      </c>
      <c r="X76" s="201">
        <f t="shared" si="9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336.0667720885387</v>
      </c>
      <c r="G77" s="4">
        <v>100</v>
      </c>
      <c r="H77" s="13">
        <v>272.772569372945</v>
      </c>
      <c r="I77" s="16">
        <v>234.51807346055404</v>
      </c>
      <c r="J77" s="6">
        <v>75</v>
      </c>
      <c r="K77" s="14">
        <v>218.218055498356</v>
      </c>
      <c r="L77" s="17">
        <v>156.3198616733779</v>
      </c>
      <c r="M77" s="8">
        <v>50</v>
      </c>
      <c r="O77" s="15">
        <v>74</v>
      </c>
      <c r="P77" s="10">
        <v>231.04762140715914</v>
      </c>
      <c r="Q77" s="11">
        <v>88.0213723548966</v>
      </c>
      <c r="R77" s="203">
        <v>64.0188020543655</v>
      </c>
      <c r="S77" s="14">
        <v>44.70993467502271</v>
      </c>
      <c r="T77" s="204">
        <f t="shared" si="5"/>
        <v>50.234359000542355</v>
      </c>
      <c r="U77" s="204">
        <f t="shared" si="6"/>
        <v>407.90299508440387</v>
      </c>
      <c r="V77" s="204">
        <f t="shared" si="7"/>
        <v>383.7905027641436</v>
      </c>
      <c r="W77" s="204">
        <f t="shared" si="8"/>
        <v>272.772569372945</v>
      </c>
      <c r="X77" s="201">
        <f t="shared" si="9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336.0585305803792</v>
      </c>
      <c r="G78" s="4">
        <v>100</v>
      </c>
      <c r="H78" s="13">
        <v>276.1249048814718</v>
      </c>
      <c r="I78" s="16">
        <v>234.510165986077</v>
      </c>
      <c r="J78" s="6">
        <v>75</v>
      </c>
      <c r="K78" s="14">
        <v>220.8999239051775</v>
      </c>
      <c r="L78" s="17">
        <v>156.31382400833797</v>
      </c>
      <c r="M78" s="8">
        <v>50</v>
      </c>
      <c r="O78" s="15">
        <v>75</v>
      </c>
      <c r="P78" s="10">
        <v>233.8668583523635</v>
      </c>
      <c r="Q78" s="11">
        <v>89.09347314368338</v>
      </c>
      <c r="R78" s="203">
        <v>64.79802411729051</v>
      </c>
      <c r="S78" s="14">
        <v>45.253937182756516</v>
      </c>
      <c r="T78" s="204">
        <f t="shared" si="5"/>
        <v>50.851732022370506</v>
      </c>
      <c r="U78" s="204">
        <f t="shared" si="6"/>
        <v>412.9160640216485</v>
      </c>
      <c r="V78" s="204">
        <f t="shared" si="7"/>
        <v>388.5072326509106</v>
      </c>
      <c r="W78" s="204">
        <f t="shared" si="8"/>
        <v>276.1249048814718</v>
      </c>
      <c r="X78" s="201">
        <f t="shared" si="9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336.0498619871079</v>
      </c>
      <c r="G79" s="4">
        <v>100</v>
      </c>
      <c r="H79" s="13">
        <v>279.47321987568756</v>
      </c>
      <c r="I79" s="16">
        <v>234.50184874554887</v>
      </c>
      <c r="J79" s="6">
        <v>75</v>
      </c>
      <c r="K79" s="14">
        <v>223.57857590055008</v>
      </c>
      <c r="L79" s="17">
        <v>156.30747347461903</v>
      </c>
      <c r="M79" s="8">
        <v>50</v>
      </c>
      <c r="O79" s="15">
        <v>76</v>
      </c>
      <c r="P79" s="10">
        <v>236.68605303476986</v>
      </c>
      <c r="Q79" s="11">
        <v>90.16540979377922</v>
      </c>
      <c r="R79" s="203">
        <v>65.57708643202976</v>
      </c>
      <c r="S79" s="14">
        <v>45.7978130818437</v>
      </c>
      <c r="T79" s="204">
        <f t="shared" si="5"/>
        <v>51.468364617990346</v>
      </c>
      <c r="U79" s="204">
        <f t="shared" si="6"/>
        <v>417.92312069808156</v>
      </c>
      <c r="V79" s="204">
        <f t="shared" si="7"/>
        <v>393.2183056814462</v>
      </c>
      <c r="W79" s="204">
        <f t="shared" si="8"/>
        <v>279.47321987568756</v>
      </c>
      <c r="X79" s="201">
        <f t="shared" si="9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336.0407902974157</v>
      </c>
      <c r="G80" s="4">
        <v>100</v>
      </c>
      <c r="H80" s="13">
        <v>282.81757198744856</v>
      </c>
      <c r="I80" s="16">
        <v>234.49314475668558</v>
      </c>
      <c r="J80" s="6">
        <v>75</v>
      </c>
      <c r="K80" s="14">
        <v>226.25405758995888</v>
      </c>
      <c r="L80" s="17">
        <v>156.30082764767542</v>
      </c>
      <c r="M80" s="8">
        <v>50</v>
      </c>
      <c r="O80" s="15">
        <v>77</v>
      </c>
      <c r="P80" s="10">
        <v>239.50520762318584</v>
      </c>
      <c r="Q80" s="11">
        <v>91.2371852716101</v>
      </c>
      <c r="R80" s="203">
        <v>66.35599173970088</v>
      </c>
      <c r="S80" s="14">
        <v>46.34156450411596</v>
      </c>
      <c r="T80" s="204">
        <f t="shared" si="5"/>
        <v>52.08426740100342</v>
      </c>
      <c r="U80" s="204">
        <f t="shared" si="6"/>
        <v>422.92425129614776</v>
      </c>
      <c r="V80" s="204">
        <f t="shared" si="7"/>
        <v>397.92380294366615</v>
      </c>
      <c r="W80" s="204">
        <f t="shared" si="8"/>
        <v>282.81757198744856</v>
      </c>
      <c r="X80" s="201">
        <f t="shared" si="9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336.03133815203944</v>
      </c>
      <c r="G81" s="4">
        <v>100</v>
      </c>
      <c r="H81" s="13">
        <v>286.1580172851005</v>
      </c>
      <c r="I81" s="16">
        <v>234.48407574384402</v>
      </c>
      <c r="J81" s="6">
        <v>75</v>
      </c>
      <c r="K81" s="14">
        <v>228.92641382808046</v>
      </c>
      <c r="L81" s="17">
        <v>156.29390311541582</v>
      </c>
      <c r="M81" s="8">
        <v>50</v>
      </c>
      <c r="O81" s="15">
        <v>78</v>
      </c>
      <c r="P81" s="10">
        <v>242.32432414920592</v>
      </c>
      <c r="Q81" s="11">
        <v>92.3088024350289</v>
      </c>
      <c r="R81" s="203">
        <v>67.13474268710293</v>
      </c>
      <c r="S81" s="14">
        <v>46.88519350981329</v>
      </c>
      <c r="T81" s="204">
        <f t="shared" si="5"/>
        <v>52.699450697071924</v>
      </c>
      <c r="U81" s="204">
        <f t="shared" si="6"/>
        <v>427.91953966022396</v>
      </c>
      <c r="V81" s="204">
        <f t="shared" si="7"/>
        <v>402.62380332562947</v>
      </c>
      <c r="W81" s="204">
        <f t="shared" si="8"/>
        <v>286.1580172851005</v>
      </c>
      <c r="X81" s="201">
        <f t="shared" si="9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336.0215269297665</v>
      </c>
      <c r="G82" s="4">
        <v>100</v>
      </c>
      <c r="H82" s="13">
        <v>289.4946103353891</v>
      </c>
      <c r="I82" s="16">
        <v>234.47466222053666</v>
      </c>
      <c r="J82" s="6">
        <v>75</v>
      </c>
      <c r="K82" s="14">
        <v>231.5956882683113</v>
      </c>
      <c r="L82" s="17">
        <v>156.28671554120353</v>
      </c>
      <c r="M82" s="8">
        <v>50</v>
      </c>
      <c r="O82" s="15">
        <v>79</v>
      </c>
      <c r="P82" s="10">
        <v>245.14340451749274</v>
      </c>
      <c r="Q82" s="11">
        <v>93.38026403931441</v>
      </c>
      <c r="R82" s="203">
        <v>67.91334183164727</v>
      </c>
      <c r="S82" s="14">
        <v>47.42870209123937</v>
      </c>
      <c r="T82" s="204">
        <f t="shared" si="5"/>
        <v>53.31392455532028</v>
      </c>
      <c r="U82" s="204">
        <f t="shared" si="6"/>
        <v>432.90906738920063</v>
      </c>
      <c r="V82" s="204">
        <f t="shared" si="7"/>
        <v>407.3183836026469</v>
      </c>
      <c r="W82" s="204">
        <f t="shared" si="8"/>
        <v>289.4946103353891</v>
      </c>
      <c r="X82" s="201">
        <f t="shared" si="9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336.0113768271794</v>
      </c>
      <c r="G83" s="4">
        <v>100</v>
      </c>
      <c r="H83" s="13">
        <v>292.82740426216446</v>
      </c>
      <c r="I83" s="16">
        <v>234.46492356594007</v>
      </c>
      <c r="J83" s="6">
        <v>75</v>
      </c>
      <c r="K83" s="14">
        <v>234.26192340973162</v>
      </c>
      <c r="L83" s="17">
        <v>156.2792797222746</v>
      </c>
      <c r="M83" s="8">
        <v>50</v>
      </c>
      <c r="O83" s="15">
        <v>80</v>
      </c>
      <c r="P83" s="10">
        <v>247.96245051516544</v>
      </c>
      <c r="Q83" s="11">
        <v>94.45157274273475</v>
      </c>
      <c r="R83" s="203">
        <v>68.69179164594564</v>
      </c>
      <c r="S83" s="14">
        <v>47.972092176167564</v>
      </c>
      <c r="T83" s="204">
        <f t="shared" si="5"/>
        <v>53.92769875914632</v>
      </c>
      <c r="U83" s="204">
        <f t="shared" si="6"/>
        <v>437.89291392426804</v>
      </c>
      <c r="V83" s="204">
        <f t="shared" si="7"/>
        <v>412.00761851987784</v>
      </c>
      <c r="W83" s="204">
        <f t="shared" si="8"/>
        <v>292.82740426216446</v>
      </c>
      <c r="X83" s="201">
        <f t="shared" si="9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336.0009069326575</v>
      </c>
      <c r="G84" s="4">
        <v>100</v>
      </c>
      <c r="H84" s="13">
        <v>296.1564508020893</v>
      </c>
      <c r="I84" s="16">
        <v>234.45487809589497</v>
      </c>
      <c r="J84" s="6">
        <v>75</v>
      </c>
      <c r="K84" s="14">
        <v>236.92516064167148</v>
      </c>
      <c r="L84" s="17">
        <v>156.27160964394588</v>
      </c>
      <c r="M84" s="8">
        <v>50</v>
      </c>
      <c r="O84" s="15">
        <v>81</v>
      </c>
      <c r="P84" s="10">
        <v>250.78146382039037</v>
      </c>
      <c r="Q84" s="11">
        <v>95.52273111171542</v>
      </c>
      <c r="R84" s="203">
        <v>69.47009452208592</v>
      </c>
      <c r="S84" s="14">
        <v>48.51536563101962</v>
      </c>
      <c r="T84" s="204">
        <f t="shared" si="5"/>
        <v>54.54078283648054</v>
      </c>
      <c r="U84" s="204">
        <f t="shared" si="6"/>
        <v>442.8711566322219</v>
      </c>
      <c r="V84" s="204">
        <f t="shared" si="7"/>
        <v>416.6915808707113</v>
      </c>
      <c r="W84" s="204">
        <f t="shared" si="8"/>
        <v>296.1564508020893</v>
      </c>
      <c r="X84" s="201">
        <f t="shared" si="9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335.9901352950981</v>
      </c>
      <c r="G85" s="4">
        <v>100</v>
      </c>
      <c r="H85" s="13">
        <v>299.4818003575317</v>
      </c>
      <c r="I85" s="16">
        <v>234.44454312884264</v>
      </c>
      <c r="J85" s="6">
        <v>75</v>
      </c>
      <c r="K85" s="14">
        <v>239.5854402860254</v>
      </c>
      <c r="L85" s="17">
        <v>156.2637185299615</v>
      </c>
      <c r="M85" s="8">
        <v>50</v>
      </c>
      <c r="O85" s="15">
        <v>82</v>
      </c>
      <c r="P85" s="10">
        <v>253.60044601024313</v>
      </c>
      <c r="Q85" s="11">
        <v>96.59374162564409</v>
      </c>
      <c r="R85" s="203">
        <v>70.24825277561999</v>
      </c>
      <c r="S85" s="14">
        <v>49.05852426383481</v>
      </c>
      <c r="T85" s="204">
        <f t="shared" si="5"/>
        <v>55.153186069527024</v>
      </c>
      <c r="U85" s="204">
        <f t="shared" si="6"/>
        <v>447.8438708845594</v>
      </c>
      <c r="V85" s="204">
        <f t="shared" si="7"/>
        <v>421.37034157118643</v>
      </c>
      <c r="W85" s="204">
        <f t="shared" si="8"/>
        <v>299.4818003575317</v>
      </c>
      <c r="X85" s="201">
        <f t="shared" si="9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335.97907898778544</v>
      </c>
      <c r="G86" s="4">
        <v>100</v>
      </c>
      <c r="H86" s="13">
        <v>302.8035020468248</v>
      </c>
      <c r="I86" s="16">
        <v>234.4339350471012</v>
      </c>
      <c r="J86" s="6">
        <v>75</v>
      </c>
      <c r="K86" s="14">
        <v>242.24280163745985</v>
      </c>
      <c r="L86" s="17">
        <v>156.25561888927868</v>
      </c>
      <c r="M86" s="8">
        <v>50</v>
      </c>
      <c r="O86" s="15">
        <v>83</v>
      </c>
      <c r="P86" s="10">
        <v>256.41939856793203</v>
      </c>
      <c r="Q86" s="11">
        <v>97.66460668135002</v>
      </c>
      <c r="R86" s="203">
        <v>71.02626864929277</v>
      </c>
      <c r="S86" s="14">
        <v>49.60156982704957</v>
      </c>
      <c r="T86" s="204">
        <f t="shared" si="5"/>
        <v>55.7649175040193</v>
      </c>
      <c r="U86" s="204">
        <f t="shared" si="6"/>
        <v>452.81113013263666</v>
      </c>
      <c r="V86" s="204">
        <f t="shared" si="7"/>
        <v>426.04396973070743</v>
      </c>
      <c r="W86" s="204">
        <f t="shared" si="8"/>
        <v>302.8035020468248</v>
      </c>
      <c r="X86" s="201">
        <f t="shared" si="9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335.967754167793</v>
      </c>
      <c r="G87" s="4">
        <v>100</v>
      </c>
      <c r="H87" s="13">
        <v>306.12160375204604</v>
      </c>
      <c r="I87" s="16">
        <v>234.42306935386367</v>
      </c>
      <c r="J87" s="6">
        <v>75</v>
      </c>
      <c r="K87" s="14">
        <v>244.89728300163685</v>
      </c>
      <c r="L87" s="17">
        <v>156.24732255958588</v>
      </c>
      <c r="M87" s="8">
        <v>75</v>
      </c>
      <c r="O87" s="15">
        <v>84</v>
      </c>
      <c r="P87" s="10">
        <v>259.238322889408</v>
      </c>
      <c r="Q87" s="11">
        <v>98.73532859727283</v>
      </c>
      <c r="R87" s="203">
        <v>71.80414431652441</v>
      </c>
      <c r="S87" s="14">
        <v>50.144504020097244</v>
      </c>
      <c r="T87" s="204">
        <f t="shared" si="5"/>
        <v>56.37598595801953</v>
      </c>
      <c r="U87" s="204">
        <f t="shared" si="6"/>
        <v>457.7730059791185</v>
      </c>
      <c r="V87" s="204">
        <f t="shared" si="7"/>
        <v>430.7125327192692</v>
      </c>
      <c r="W87" s="204">
        <f t="shared" si="8"/>
        <v>306.12160375204604</v>
      </c>
      <c r="X87" s="201">
        <f t="shared" si="9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335.9561761312694</v>
      </c>
      <c r="G88" s="4">
        <v>100</v>
      </c>
      <c r="H88" s="13">
        <v>309.43615216447694</v>
      </c>
      <c r="I88" s="16">
        <v>234.41196072623868</v>
      </c>
      <c r="J88" s="6">
        <v>75</v>
      </c>
      <c r="K88" s="14">
        <v>247.54892173158157</v>
      </c>
      <c r="L88" s="17">
        <v>156.23884074780565</v>
      </c>
      <c r="M88" s="8">
        <v>75</v>
      </c>
      <c r="O88" s="15">
        <v>85</v>
      </c>
      <c r="P88" s="10">
        <v>262.05722028945047</v>
      </c>
      <c r="Q88" s="11">
        <v>99.805909617358</v>
      </c>
      <c r="R88" s="203">
        <v>72.58188188467345</v>
      </c>
      <c r="S88" s="14">
        <v>50.68732849184727</v>
      </c>
      <c r="T88" s="204">
        <f t="shared" si="5"/>
        <v>56.98640003029041</v>
      </c>
      <c r="U88" s="204">
        <f t="shared" si="6"/>
        <v>462.7295682459581</v>
      </c>
      <c r="V88" s="204">
        <f t="shared" si="7"/>
        <v>435.3760962314187</v>
      </c>
      <c r="W88" s="204">
        <f t="shared" si="8"/>
        <v>309.43615216447694</v>
      </c>
      <c r="X88" s="201">
        <f t="shared" si="9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335.9443593649287</v>
      </c>
      <c r="G89" s="4">
        <v>112.5</v>
      </c>
      <c r="H89" s="13">
        <v>312.7471928278694</v>
      </c>
      <c r="I89" s="16">
        <v>234.4006230646595</v>
      </c>
      <c r="J89" s="6">
        <v>75</v>
      </c>
      <c r="K89" s="14">
        <v>250.19775426229555</v>
      </c>
      <c r="L89" s="17">
        <v>156.23018406781605</v>
      </c>
      <c r="M89" s="8">
        <v>75</v>
      </c>
      <c r="O89" s="15">
        <v>86</v>
      </c>
      <c r="P89" s="10">
        <v>264.87609200726484</v>
      </c>
      <c r="Q89" s="11">
        <v>100.87635191469676</v>
      </c>
      <c r="R89" s="203">
        <v>73.35948339809528</v>
      </c>
      <c r="S89" s="14">
        <v>51.23004484289434</v>
      </c>
      <c r="T89" s="204">
        <f t="shared" si="5"/>
        <v>57.59616810826324</v>
      </c>
      <c r="U89" s="204">
        <f t="shared" si="6"/>
        <v>467.68088503909746</v>
      </c>
      <c r="V89" s="204">
        <f t="shared" si="7"/>
        <v>440.03472434713115</v>
      </c>
      <c r="W89" s="204">
        <f t="shared" si="8"/>
        <v>312.7471928278694</v>
      </c>
      <c r="X89" s="201">
        <f t="shared" si="9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335.93231759404745</v>
      </c>
      <c r="G90" s="4">
        <v>112.5</v>
      </c>
      <c r="H90" s="13">
        <v>316.0547701796619</v>
      </c>
      <c r="I90" s="16">
        <v>234.3890695389305</v>
      </c>
      <c r="J90" s="6">
        <v>75</v>
      </c>
      <c r="K90" s="14">
        <v>252.84381614372953</v>
      </c>
      <c r="L90" s="17">
        <v>156.22136257561212</v>
      </c>
      <c r="M90" s="8">
        <v>75</v>
      </c>
      <c r="O90" s="15">
        <v>87</v>
      </c>
      <c r="P90" s="10">
        <v>267.6949392116214</v>
      </c>
      <c r="Q90" s="11">
        <v>101.94665759492594</v>
      </c>
      <c r="R90" s="203">
        <v>74.13695084100803</v>
      </c>
      <c r="S90" s="14">
        <v>51.772654627706444</v>
      </c>
      <c r="T90" s="204">
        <f t="shared" si="5"/>
        <v>58.20529837562834</v>
      </c>
      <c r="U90" s="204">
        <f t="shared" si="6"/>
        <v>472.62702281010206</v>
      </c>
      <c r="V90" s="204">
        <f t="shared" si="7"/>
        <v>444.68847958980047</v>
      </c>
      <c r="W90" s="204">
        <f t="shared" si="8"/>
        <v>316.0547701796619</v>
      </c>
      <c r="X90" s="201">
        <f t="shared" si="9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335.92006382721706</v>
      </c>
      <c r="G91" s="4">
        <v>112.5</v>
      </c>
      <c r="H91" s="13">
        <v>319.35892759025404</v>
      </c>
      <c r="I91" s="16">
        <v>234.37731263117183</v>
      </c>
      <c r="J91" s="6">
        <v>75</v>
      </c>
      <c r="K91" s="14">
        <v>255.48714207220326</v>
      </c>
      <c r="L91" s="17">
        <v>156.21238580209484</v>
      </c>
      <c r="M91" s="8">
        <v>75</v>
      </c>
      <c r="O91" s="15">
        <v>88</v>
      </c>
      <c r="P91" s="10">
        <v>270.51376300561725</v>
      </c>
      <c r="Q91" s="11">
        <v>103.01682869942056</v>
      </c>
      <c r="R91" s="203">
        <v>74.91428614019061</v>
      </c>
      <c r="S91" s="14">
        <v>52.31515935664919</v>
      </c>
      <c r="T91" s="204">
        <f t="shared" si="5"/>
        <v>58.813798819567964</v>
      </c>
      <c r="U91" s="204">
        <f t="shared" si="6"/>
        <v>477.5680464148918</v>
      </c>
      <c r="V91" s="204">
        <f t="shared" si="7"/>
        <v>449.33742298149923</v>
      </c>
      <c r="W91" s="204">
        <f t="shared" si="8"/>
        <v>319.35892759025404</v>
      </c>
      <c r="X91" s="201">
        <f t="shared" si="9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335.9076103981228</v>
      </c>
      <c r="G92" s="4">
        <v>112.5</v>
      </c>
      <c r="H92" s="13">
        <v>322.6597074004589</v>
      </c>
      <c r="I92" s="16">
        <v>234.36536417590222</v>
      </c>
      <c r="J92" s="6">
        <v>100</v>
      </c>
      <c r="K92" s="14">
        <v>258.12776592036715</v>
      </c>
      <c r="L92" s="17">
        <v>156.2032627836763</v>
      </c>
      <c r="M92" s="8">
        <v>75</v>
      </c>
      <c r="O92" s="15">
        <v>89</v>
      </c>
      <c r="P92" s="10">
        <v>273.3325644310363</v>
      </c>
      <c r="Q92" s="11">
        <v>104.08686720827522</v>
      </c>
      <c r="R92" s="203">
        <v>75.69149116751105</v>
      </c>
      <c r="S92" s="14">
        <v>52.85756049788574</v>
      </c>
      <c r="T92" s="204">
        <f t="shared" si="5"/>
        <v>59.421677237653576</v>
      </c>
      <c r="U92" s="204">
        <f t="shared" si="6"/>
        <v>482.504019169747</v>
      </c>
      <c r="V92" s="204">
        <f t="shared" si="7"/>
        <v>453.9816140956733</v>
      </c>
      <c r="W92" s="204">
        <f t="shared" si="8"/>
        <v>322.6597074004589</v>
      </c>
      <c r="X92" s="201">
        <f t="shared" si="9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335.8949690045488</v>
      </c>
      <c r="G93" s="4">
        <v>112.5</v>
      </c>
      <c r="H93" s="13">
        <v>325.9571509572348</v>
      </c>
      <c r="I93" s="16">
        <v>234.35323539746582</v>
      </c>
      <c r="J93" s="6">
        <v>100</v>
      </c>
      <c r="K93" s="14">
        <v>260.7657207657879</v>
      </c>
      <c r="L93" s="17">
        <v>156.19400209085848</v>
      </c>
      <c r="M93" s="8">
        <v>75</v>
      </c>
      <c r="O93" s="15">
        <v>90</v>
      </c>
      <c r="P93" s="10">
        <v>276.15134447239797</v>
      </c>
      <c r="Q93" s="11">
        <v>105.15677504310969</v>
      </c>
      <c r="R93" s="203">
        <v>76.4685677423115</v>
      </c>
      <c r="S93" s="14">
        <v>53.39985947917085</v>
      </c>
      <c r="T93" s="204">
        <f t="shared" si="5"/>
        <v>60.0289412444263</v>
      </c>
      <c r="U93" s="204">
        <f t="shared" si="6"/>
        <v>487.4350029047415</v>
      </c>
      <c r="V93" s="204">
        <f t="shared" si="7"/>
        <v>458.6211111074169</v>
      </c>
      <c r="W93" s="204">
        <f t="shared" si="8"/>
        <v>325.9571509572348</v>
      </c>
      <c r="X93" s="201">
        <f t="shared" si="9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335.88215074483264</v>
      </c>
      <c r="G94" s="4">
        <v>112.5</v>
      </c>
      <c r="H94" s="13">
        <v>329.2512986477911</v>
      </c>
      <c r="I94" s="16">
        <v>234.3409369450113</v>
      </c>
      <c r="J94" s="6">
        <v>100</v>
      </c>
      <c r="K94" s="14">
        <v>263.4010389182329</v>
      </c>
      <c r="L94" s="17">
        <v>156.18461185493862</v>
      </c>
      <c r="M94" s="8">
        <v>75</v>
      </c>
      <c r="O94" s="15">
        <v>91</v>
      </c>
      <c r="P94" s="10">
        <v>278.9701040606886</v>
      </c>
      <c r="Q94" s="11">
        <v>106.22655406970046</v>
      </c>
      <c r="R94" s="203">
        <v>77.24551763365223</v>
      </c>
      <c r="S94" s="14">
        <v>53.94205768954094</v>
      </c>
      <c r="T94" s="204">
        <f t="shared" si="5"/>
        <v>60.63559827767792</v>
      </c>
      <c r="U94" s="204">
        <f t="shared" si="6"/>
        <v>492.3610580147447</v>
      </c>
      <c r="V94" s="204">
        <f t="shared" si="7"/>
        <v>463.2559708414593</v>
      </c>
      <c r="W94" s="204">
        <f t="shared" si="8"/>
        <v>329.2512986477911</v>
      </c>
      <c r="X94" s="201">
        <f t="shared" si="9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335.8691661519484</v>
      </c>
      <c r="G95" s="4">
        <v>112.5</v>
      </c>
      <c r="H95" s="13">
        <v>332.54218993216773</v>
      </c>
      <c r="I95" s="16">
        <v>234.328478925193</v>
      </c>
      <c r="J95" s="6">
        <v>100</v>
      </c>
      <c r="K95" s="14">
        <v>266.03375194573425</v>
      </c>
      <c r="L95" s="17">
        <v>156.17509979298234</v>
      </c>
      <c r="M95" s="8">
        <v>75</v>
      </c>
      <c r="O95" s="15">
        <v>92</v>
      </c>
      <c r="P95" s="10">
        <v>281.7888440768165</v>
      </c>
      <c r="Q95" s="11">
        <v>107.29620610045612</v>
      </c>
      <c r="R95" s="203">
        <v>78.0223425624279</v>
      </c>
      <c r="S95" s="14">
        <v>54.48415648090995</v>
      </c>
      <c r="T95" s="204">
        <f t="shared" si="5"/>
        <v>61.241655604450784</v>
      </c>
      <c r="U95" s="204">
        <f t="shared" si="6"/>
        <v>497.2822435081403</v>
      </c>
      <c r="V95" s="204">
        <f t="shared" si="7"/>
        <v>467.886248818004</v>
      </c>
      <c r="W95" s="204">
        <f t="shared" si="8"/>
        <v>332.54218993216773</v>
      </c>
      <c r="X95" s="201">
        <f t="shared" si="9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335.856025225397</v>
      </c>
      <c r="G96" s="4">
        <v>112.5</v>
      </c>
      <c r="H96" s="13">
        <v>335.82986337435926</v>
      </c>
      <c r="I96" s="16">
        <v>234.31587093277133</v>
      </c>
      <c r="J96" s="6">
        <v>100</v>
      </c>
      <c r="K96" s="14">
        <v>268.66389069948747</v>
      </c>
      <c r="L96" s="17">
        <v>156.16547323118553</v>
      </c>
      <c r="M96" s="8">
        <v>75</v>
      </c>
      <c r="O96" s="15">
        <v>93</v>
      </c>
      <c r="P96" s="10">
        <v>284.6075653548061</v>
      </c>
      <c r="Q96" s="11">
        <v>108.36573289674521</v>
      </c>
      <c r="R96" s="203">
        <v>78.79904420336376</v>
      </c>
      <c r="S96" s="14">
        <v>55.026157169576244</v>
      </c>
      <c r="T96" s="204">
        <f t="shared" si="5"/>
        <v>61.84712032676967</v>
      </c>
      <c r="U96" s="204">
        <f t="shared" si="6"/>
        <v>502.1986170533697</v>
      </c>
      <c r="V96" s="204">
        <f t="shared" si="7"/>
        <v>472.51199929652023</v>
      </c>
      <c r="W96" s="204">
        <f t="shared" si="8"/>
        <v>335.82986337435926</v>
      </c>
      <c r="X96" s="201">
        <f t="shared" si="9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335.8427374610585</v>
      </c>
      <c r="G97" s="4">
        <v>112.5</v>
      </c>
      <c r="H97" s="13">
        <v>339.11435667207735</v>
      </c>
      <c r="I97" s="16">
        <v>234.30312207925644</v>
      </c>
      <c r="J97" s="6">
        <v>100</v>
      </c>
      <c r="K97" s="14">
        <v>271.2914853376619</v>
      </c>
      <c r="L97" s="17">
        <v>156.15573912674694</v>
      </c>
      <c r="M97" s="8">
        <v>75</v>
      </c>
      <c r="O97" s="15">
        <v>94</v>
      </c>
      <c r="P97" s="10">
        <v>287.42626868475537</v>
      </c>
      <c r="Q97" s="11">
        <v>109.43513617108788</v>
      </c>
      <c r="R97" s="203">
        <v>79.57562418689994</v>
      </c>
      <c r="S97" s="14">
        <v>55.56806103764687</v>
      </c>
      <c r="T97" s="204">
        <f t="shared" si="5"/>
        <v>62.4519993871229</v>
      </c>
      <c r="U97" s="204">
        <f t="shared" si="6"/>
        <v>507.11023502343795</v>
      </c>
      <c r="V97" s="204">
        <f t="shared" si="7"/>
        <v>477.13327531761894</v>
      </c>
      <c r="W97" s="204">
        <f t="shared" si="8"/>
        <v>339.11435667207735</v>
      </c>
      <c r="X97" s="201">
        <f t="shared" si="9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335.82931187915574</v>
      </c>
      <c r="G98" s="4">
        <v>112.5</v>
      </c>
      <c r="H98" s="13">
        <v>342.39570668521515</v>
      </c>
      <c r="I98" s="16">
        <v>234.2902410197392</v>
      </c>
      <c r="J98" s="6">
        <v>100</v>
      </c>
      <c r="K98" s="14">
        <v>273.9165653481721</v>
      </c>
      <c r="L98" s="17">
        <v>156.14590408835537</v>
      </c>
      <c r="M98" s="8">
        <v>75</v>
      </c>
      <c r="O98" s="15">
        <v>95</v>
      </c>
      <c r="P98" s="10">
        <v>290.2449548155864</v>
      </c>
      <c r="Q98" s="11">
        <v>110.504417589225</v>
      </c>
      <c r="R98" s="203">
        <v>80.35208410097502</v>
      </c>
      <c r="S98" s="14">
        <v>56.109869334386886</v>
      </c>
      <c r="T98" s="204">
        <f t="shared" si="5"/>
        <v>63.05629957370445</v>
      </c>
      <c r="U98" s="204">
        <f t="shared" si="6"/>
        <v>512.0171525384801</v>
      </c>
      <c r="V98" s="204">
        <f t="shared" si="7"/>
        <v>481.750128743102</v>
      </c>
      <c r="W98" s="204">
        <f t="shared" si="8"/>
        <v>342.39570668521515</v>
      </c>
      <c r="X98" s="201">
        <f t="shared" si="9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335.8157570504617</v>
      </c>
      <c r="G99" s="4">
        <v>112.5</v>
      </c>
      <c r="H99" s="13">
        <v>345.67394946308673</v>
      </c>
      <c r="I99" s="16">
        <v>234.27723597803995</v>
      </c>
      <c r="J99" s="6">
        <v>100</v>
      </c>
      <c r="K99" s="14">
        <v>276.5391595704694</v>
      </c>
      <c r="L99" s="17">
        <v>156.13597439539188</v>
      </c>
      <c r="M99" s="8">
        <v>75</v>
      </c>
      <c r="O99" s="15">
        <v>96</v>
      </c>
      <c r="P99" s="10">
        <v>293.0636244575855</v>
      </c>
      <c r="Q99" s="11">
        <v>111.57357877206611</v>
      </c>
      <c r="R99" s="203">
        <v>81.12842549270984</v>
      </c>
      <c r="S99" s="14">
        <v>56.65158327749498</v>
      </c>
      <c r="T99" s="204">
        <f t="shared" si="5"/>
        <v>63.66002752543034</v>
      </c>
      <c r="U99" s="204">
        <f t="shared" si="6"/>
        <v>516.9194235064942</v>
      </c>
      <c r="V99" s="204">
        <f t="shared" si="7"/>
        <v>486.3626102942878</v>
      </c>
      <c r="W99" s="204">
        <f t="shared" si="8"/>
        <v>345.67394946308673</v>
      </c>
      <c r="X99" s="201">
        <f t="shared" si="9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335.80208112087644</v>
      </c>
      <c r="G100" s="4">
        <v>125</v>
      </c>
      <c r="H100" s="13">
        <v>348.9491202705087</v>
      </c>
      <c r="I100" s="16">
        <v>234.26411477028836</v>
      </c>
      <c r="J100" s="6">
        <v>100</v>
      </c>
      <c r="K100" s="14">
        <v>279.159296216407</v>
      </c>
      <c r="L100" s="17">
        <v>156.12595601593446</v>
      </c>
      <c r="M100" s="8">
        <v>75</v>
      </c>
      <c r="O100" s="15">
        <v>97</v>
      </c>
      <c r="P100" s="10">
        <v>295.8822782847792</v>
      </c>
      <c r="Q100" s="11">
        <v>112.64262129753456</v>
      </c>
      <c r="R100" s="203">
        <v>81.90464987000588</v>
      </c>
      <c r="S100" s="14">
        <v>57.19320405431526</v>
      </c>
      <c r="T100" s="204">
        <f t="shared" si="5"/>
        <v>64.26318973674194</v>
      </c>
      <c r="U100" s="204">
        <f t="shared" si="6"/>
        <v>521.8171006623445</v>
      </c>
      <c r="V100" s="204">
        <f t="shared" si="7"/>
        <v>490.9707695887084</v>
      </c>
      <c r="W100" s="204">
        <f t="shared" si="8"/>
        <v>348.9491202705087</v>
      </c>
      <c r="X100" s="201">
        <f t="shared" si="9"/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335.78829183448744</v>
      </c>
      <c r="G101" s="4">
        <v>125</v>
      </c>
      <c r="H101" s="13">
        <v>352.2212536127804</v>
      </c>
      <c r="I101" s="16">
        <v>234.2508848270522</v>
      </c>
      <c r="J101" s="6">
        <v>100</v>
      </c>
      <c r="K101" s="14">
        <v>281.77700289022437</v>
      </c>
      <c r="L101" s="17">
        <v>156.11585462365545</v>
      </c>
      <c r="M101" s="8">
        <v>75</v>
      </c>
      <c r="O101" s="15">
        <v>98</v>
      </c>
      <c r="P101" s="10">
        <v>298.7009169371208</v>
      </c>
      <c r="Q101" s="11">
        <v>113.71154670230356</v>
      </c>
      <c r="R101" s="203">
        <v>82.68075870305438</v>
      </c>
      <c r="S101" s="14">
        <v>57.73473282298292</v>
      </c>
      <c r="T101" s="204">
        <f t="shared" si="5"/>
        <v>64.86579256220634</v>
      </c>
      <c r="U101" s="204">
        <f t="shared" si="6"/>
        <v>526.7102356051154</v>
      </c>
      <c r="V101" s="204">
        <f t="shared" si="7"/>
        <v>495.5746551752564</v>
      </c>
      <c r="W101" s="204">
        <f t="shared" si="8"/>
        <v>352.2212536127804</v>
      </c>
      <c r="X101" s="201">
        <f t="shared" si="9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335.77439655521715</v>
      </c>
      <c r="G102" s="4">
        <v>125</v>
      </c>
      <c r="H102" s="13">
        <v>355.49038325962164</v>
      </c>
      <c r="I102" s="16">
        <v>234.2375532141076</v>
      </c>
      <c r="J102" s="6">
        <v>100</v>
      </c>
      <c r="K102" s="14">
        <v>284.3923066076973</v>
      </c>
      <c r="L102" s="17">
        <v>156.10567561368023</v>
      </c>
      <c r="M102" s="8">
        <v>75</v>
      </c>
      <c r="O102" s="15">
        <v>99</v>
      </c>
      <c r="P102" s="10">
        <v>301.5195410225409</v>
      </c>
      <c r="Q102" s="11">
        <v>114.7803564834446</v>
      </c>
      <c r="R102" s="203">
        <v>83.45675342577141</v>
      </c>
      <c r="S102" s="14">
        <v>58.276170713514595</v>
      </c>
      <c r="T102" s="204">
        <f t="shared" si="5"/>
        <v>65.4678422209248</v>
      </c>
      <c r="U102" s="204">
        <f t="shared" si="6"/>
        <v>531.5988788339092</v>
      </c>
      <c r="V102" s="204">
        <f t="shared" si="7"/>
        <v>500.1743145678654</v>
      </c>
      <c r="W102" s="204">
        <f t="shared" si="8"/>
        <v>355.49038325962164</v>
      </c>
      <c r="X102" s="201">
        <f t="shared" si="9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335.7604022871546</v>
      </c>
      <c r="G103" s="4">
        <v>125</v>
      </c>
      <c r="H103" s="13">
        <v>358.75654226812475</v>
      </c>
      <c r="I103" s="16">
        <v>234.22412665194952</v>
      </c>
      <c r="J103" s="6">
        <v>100</v>
      </c>
      <c r="K103" s="14">
        <v>287.00523381449983</v>
      </c>
      <c r="L103" s="17">
        <v>156.09542411748617</v>
      </c>
      <c r="M103" s="8">
        <v>75</v>
      </c>
      <c r="O103" s="15">
        <v>100</v>
      </c>
      <c r="P103" s="10">
        <v>304.33815111884593</v>
      </c>
      <c r="Q103" s="11">
        <v>115.8490520999833</v>
      </c>
      <c r="R103" s="203">
        <v>84.2326354371567</v>
      </c>
      <c r="S103" s="14">
        <v>58.81751882884211</v>
      </c>
      <c r="T103" s="204">
        <f t="shared" si="5"/>
        <v>66.06934480075962</v>
      </c>
      <c r="U103" s="204">
        <f t="shared" si="6"/>
        <v>536.483079782168</v>
      </c>
      <c r="V103" s="204">
        <f t="shared" si="7"/>
        <v>504.7697942778035</v>
      </c>
      <c r="W103" s="204">
        <f t="shared" si="8"/>
        <v>358.75654226812475</v>
      </c>
      <c r="X103" s="201">
        <f t="shared" si="9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335.02422863285517</v>
      </c>
      <c r="G104" s="4" t="s">
        <v>21</v>
      </c>
      <c r="H104" s="13">
        <v>518.8512595213961</v>
      </c>
      <c r="I104" s="16">
        <v>233.5178514885558</v>
      </c>
      <c r="J104" s="6">
        <v>125</v>
      </c>
      <c r="K104" s="14">
        <v>415.0810076171169</v>
      </c>
      <c r="L104" s="17">
        <v>155.55618031578072</v>
      </c>
      <c r="M104" s="8">
        <v>100</v>
      </c>
      <c r="O104" s="15">
        <v>150</v>
      </c>
      <c r="P104" s="10">
        <v>445.2583491368972</v>
      </c>
      <c r="Q104" s="11">
        <v>169.1626667264585</v>
      </c>
      <c r="R104" s="203">
        <v>122.90664053598226</v>
      </c>
      <c r="S104" s="14">
        <v>85.78913840500947</v>
      </c>
      <c r="T104" s="204">
        <f t="shared" si="5"/>
        <v>95.5527181439035</v>
      </c>
      <c r="U104" s="204">
        <f t="shared" si="6"/>
        <v>775.8880713284964</v>
      </c>
      <c r="V104" s="204">
        <f t="shared" si="7"/>
        <v>730.0227666194228</v>
      </c>
      <c r="W104" s="204">
        <f t="shared" si="8"/>
        <v>518.8512595213961</v>
      </c>
      <c r="X104" s="201">
        <f t="shared" si="9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334.3450843068937</v>
      </c>
      <c r="G105" s="4" t="s">
        <v>21</v>
      </c>
      <c r="H105" s="13">
        <v>674.1198657805224</v>
      </c>
      <c r="I105" s="16">
        <v>232.86634905587476</v>
      </c>
      <c r="J105" s="6" t="s">
        <v>21</v>
      </c>
      <c r="K105" s="14">
        <v>539.295892624418</v>
      </c>
      <c r="L105" s="17">
        <v>155.058780001862</v>
      </c>
      <c r="M105" s="8">
        <v>125</v>
      </c>
      <c r="O105" s="15">
        <v>200</v>
      </c>
      <c r="P105" s="10">
        <v>586.1704358213573</v>
      </c>
      <c r="Q105" s="11">
        <v>222.29844999160602</v>
      </c>
      <c r="R105" s="203">
        <v>161.40365692597558</v>
      </c>
      <c r="S105" s="14">
        <v>112.61939538734573</v>
      </c>
      <c r="T105" s="204">
        <f t="shared" si="5"/>
        <v>124.14730493195626</v>
      </c>
      <c r="U105" s="204">
        <f t="shared" si="6"/>
        <v>1008.0761160474847</v>
      </c>
      <c r="V105" s="204">
        <f t="shared" si="7"/>
        <v>948.4854096801457</v>
      </c>
      <c r="W105" s="204">
        <f t="shared" si="8"/>
        <v>674.1198657805224</v>
      </c>
      <c r="X105" s="201">
        <f t="shared" si="9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333.7578420374505</v>
      </c>
      <c r="G106" s="4" t="s">
        <v>21</v>
      </c>
      <c r="H106" s="13">
        <v>825.8957618090687</v>
      </c>
      <c r="I106" s="16">
        <v>232.3030544464702</v>
      </c>
      <c r="J106" s="6" t="s">
        <v>21</v>
      </c>
      <c r="K106" s="14">
        <v>660.7166094472551</v>
      </c>
      <c r="L106" s="17">
        <v>154.62874230924186</v>
      </c>
      <c r="M106" s="8">
        <v>150</v>
      </c>
      <c r="O106" s="15">
        <v>250</v>
      </c>
      <c r="P106" s="10">
        <v>727.0801721993718</v>
      </c>
      <c r="Q106" s="11">
        <v>275.30820833039087</v>
      </c>
      <c r="R106" s="203">
        <v>199.7748925531053</v>
      </c>
      <c r="S106" s="14">
        <v>139.34909393187425</v>
      </c>
      <c r="T106" s="204">
        <f t="shared" si="5"/>
        <v>152.0986669998285</v>
      </c>
      <c r="U106" s="204">
        <f t="shared" si="6"/>
        <v>1235.0411760386073</v>
      </c>
      <c r="V106" s="204">
        <f t="shared" si="7"/>
        <v>1162.0338158786897</v>
      </c>
      <c r="W106" s="204">
        <f t="shared" si="8"/>
        <v>825.8957618090687</v>
      </c>
      <c r="X106" s="201">
        <f t="shared" si="9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333.25021008314235</v>
      </c>
      <c r="G107" s="4" t="s">
        <v>21</v>
      </c>
      <c r="H107" s="13">
        <v>974.9451235573889</v>
      </c>
      <c r="I107" s="16">
        <v>231.81615837393528</v>
      </c>
      <c r="J107" s="6" t="s">
        <v>21</v>
      </c>
      <c r="K107" s="14">
        <v>779.9560988459112</v>
      </c>
      <c r="L107" s="17">
        <v>154.25704397180905</v>
      </c>
      <c r="M107" s="8" t="s">
        <v>21</v>
      </c>
      <c r="O107" s="15">
        <v>300</v>
      </c>
      <c r="P107" s="10">
        <v>867.9889827830037</v>
      </c>
      <c r="Q107" s="11">
        <v>328.22075866825014</v>
      </c>
      <c r="R107" s="203">
        <v>238.04901635621272</v>
      </c>
      <c r="S107" s="14">
        <v>166.0011290827703</v>
      </c>
      <c r="T107" s="204">
        <f t="shared" si="5"/>
        <v>179.54790489086352</v>
      </c>
      <c r="U107" s="204">
        <f t="shared" si="6"/>
        <v>1457.9289877138117</v>
      </c>
      <c r="V107" s="204">
        <f t="shared" si="7"/>
        <v>1371.7459933661974</v>
      </c>
      <c r="W107" s="204">
        <f t="shared" si="8"/>
        <v>974.9451235573889</v>
      </c>
      <c r="X107" s="201">
        <f t="shared" si="9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332.80680224974486</v>
      </c>
      <c r="G108" s="4" t="s">
        <v>21</v>
      </c>
      <c r="H108" s="13">
        <v>1121.7646497801454</v>
      </c>
      <c r="I108" s="16">
        <v>231.39088940991937</v>
      </c>
      <c r="J108" s="6" t="s">
        <v>21</v>
      </c>
      <c r="K108" s="14">
        <v>897.4117198241164</v>
      </c>
      <c r="L108" s="17">
        <v>153.9324028179746</v>
      </c>
      <c r="M108" s="8" t="s">
        <v>21</v>
      </c>
      <c r="O108" s="15">
        <v>350</v>
      </c>
      <c r="P108" s="10">
        <v>1008.8973560951571</v>
      </c>
      <c r="Q108" s="11">
        <v>381.05448344792393</v>
      </c>
      <c r="R108" s="203">
        <v>276.2443600274384</v>
      </c>
      <c r="S108" s="14">
        <v>192.59015243946592</v>
      </c>
      <c r="T108" s="204">
        <f t="shared" si="5"/>
        <v>206.5864916722183</v>
      </c>
      <c r="U108" s="204">
        <f t="shared" si="6"/>
        <v>1677.4823123784124</v>
      </c>
      <c r="V108" s="204">
        <f t="shared" si="7"/>
        <v>1578.3207963757477</v>
      </c>
      <c r="W108" s="204">
        <f t="shared" si="8"/>
        <v>1121.7646497801454</v>
      </c>
      <c r="X108" s="201">
        <f t="shared" si="9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VERDUGO ISRAEL</dc:creator>
  <cp:keywords/>
  <dc:description/>
  <cp:lastModifiedBy>TOBIAS VERDUGO ISRAEL</cp:lastModifiedBy>
  <cp:lastPrinted>2019-05-21T15:26:21Z</cp:lastPrinted>
  <dcterms:created xsi:type="dcterms:W3CDTF">2018-08-22T16:08:20Z</dcterms:created>
  <dcterms:modified xsi:type="dcterms:W3CDTF">2019-05-21T15:26:24Z</dcterms:modified>
  <cp:category/>
  <cp:version/>
  <cp:contentType/>
  <cp:contentStatus/>
</cp:coreProperties>
</file>